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ZIO FINANZIARIO\Consuntivo 2024\TEMPESTIVITA' DEI PAGAMENTI\"/>
    </mc:Choice>
  </mc:AlternateContent>
  <xr:revisionPtr revIDLastSave="0" documentId="13_ncr:9_{286D9C4A-6F76-432F-8AFC-6144014FD752}" xr6:coauthVersionLast="47" xr6:coauthVersionMax="47" xr10:uidLastSave="{00000000-0000-0000-0000-000000000000}"/>
  <bookViews>
    <workbookView xWindow="-120" yWindow="-120" windowWidth="19440" windowHeight="11160" xr2:uid="{1BA20EC2-8300-4A8B-9166-36849D5DB391}"/>
  </bookViews>
  <sheets>
    <sheet name="Fatture contabilizzate al 31-12" sheetId="2" r:id="rId1"/>
  </sheets>
  <definedNames>
    <definedName name="_xlnm._FilterDatabase" localSheetId="0" hidden="1">'Fatture contabilizzate al 31-12'!$A$2:$P$80</definedName>
  </definedNames>
  <calcPr calcId="191029"/>
</workbook>
</file>

<file path=xl/calcChain.xml><?xml version="1.0" encoding="utf-8"?>
<calcChain xmlns="http://schemas.openxmlformats.org/spreadsheetml/2006/main">
  <c r="I80" i="2" l="1"/>
  <c r="D80" i="2"/>
  <c r="C80" i="2"/>
  <c r="I79" i="2"/>
  <c r="D79" i="2"/>
  <c r="C79" i="2"/>
  <c r="I78" i="2"/>
  <c r="D78" i="2"/>
  <c r="C78" i="2"/>
  <c r="I77" i="2"/>
  <c r="D77" i="2"/>
  <c r="C77" i="2"/>
  <c r="I76" i="2"/>
  <c r="D76" i="2"/>
  <c r="C76" i="2"/>
  <c r="I75" i="2"/>
  <c r="D75" i="2"/>
  <c r="C75" i="2"/>
  <c r="I74" i="2"/>
  <c r="D74" i="2"/>
  <c r="C74" i="2"/>
  <c r="I73" i="2"/>
  <c r="D73" i="2"/>
  <c r="C73" i="2"/>
  <c r="I72" i="2"/>
  <c r="D72" i="2"/>
  <c r="C72" i="2"/>
  <c r="I71" i="2"/>
  <c r="D71" i="2"/>
  <c r="C71" i="2"/>
  <c r="I70" i="2"/>
  <c r="D70" i="2"/>
  <c r="C70" i="2"/>
  <c r="I69" i="2"/>
  <c r="D69" i="2"/>
  <c r="C69" i="2"/>
  <c r="I68" i="2"/>
  <c r="D68" i="2"/>
  <c r="C68" i="2"/>
  <c r="I67" i="2"/>
  <c r="D67" i="2"/>
  <c r="C67" i="2"/>
  <c r="I66" i="2"/>
  <c r="D66" i="2"/>
  <c r="C66" i="2"/>
  <c r="I65" i="2"/>
  <c r="D65" i="2"/>
  <c r="C65" i="2"/>
  <c r="I64" i="2"/>
  <c r="D64" i="2"/>
  <c r="C64" i="2"/>
  <c r="I63" i="2"/>
  <c r="D63" i="2"/>
  <c r="C63" i="2"/>
  <c r="I62" i="2"/>
  <c r="D62" i="2"/>
  <c r="C62" i="2"/>
  <c r="I61" i="2"/>
  <c r="D61" i="2"/>
  <c r="C61" i="2"/>
  <c r="I60" i="2"/>
  <c r="D60" i="2"/>
  <c r="C60" i="2"/>
  <c r="I59" i="2"/>
  <c r="D59" i="2"/>
  <c r="C59" i="2"/>
  <c r="I58" i="2"/>
  <c r="D58" i="2"/>
  <c r="C58" i="2"/>
  <c r="I57" i="2"/>
  <c r="D57" i="2"/>
  <c r="C57" i="2"/>
  <c r="I56" i="2"/>
  <c r="D56" i="2"/>
  <c r="C56" i="2"/>
  <c r="I55" i="2"/>
  <c r="D55" i="2"/>
  <c r="C55" i="2"/>
  <c r="I54" i="2"/>
  <c r="D54" i="2"/>
  <c r="C54" i="2"/>
  <c r="I53" i="2"/>
  <c r="D53" i="2"/>
  <c r="C53" i="2"/>
  <c r="I52" i="2"/>
  <c r="D52" i="2"/>
  <c r="C52" i="2"/>
  <c r="I51" i="2"/>
  <c r="D51" i="2"/>
  <c r="C51" i="2"/>
  <c r="I50" i="2"/>
  <c r="D50" i="2"/>
  <c r="C50" i="2"/>
  <c r="I49" i="2"/>
  <c r="D49" i="2"/>
  <c r="C49" i="2"/>
  <c r="I48" i="2"/>
  <c r="D48" i="2"/>
  <c r="C48" i="2"/>
  <c r="I47" i="2"/>
  <c r="D47" i="2"/>
  <c r="C47" i="2"/>
  <c r="I46" i="2"/>
  <c r="D46" i="2"/>
  <c r="C46" i="2"/>
  <c r="I45" i="2"/>
  <c r="D45" i="2"/>
  <c r="C45" i="2"/>
  <c r="I44" i="2"/>
  <c r="D44" i="2"/>
  <c r="C44" i="2"/>
  <c r="I43" i="2"/>
  <c r="D43" i="2"/>
  <c r="C43" i="2"/>
  <c r="I42" i="2"/>
  <c r="D42" i="2"/>
  <c r="C42" i="2"/>
  <c r="I41" i="2"/>
  <c r="D41" i="2"/>
  <c r="C41" i="2"/>
  <c r="I40" i="2"/>
  <c r="D40" i="2"/>
  <c r="C40" i="2"/>
  <c r="I39" i="2"/>
  <c r="D39" i="2"/>
  <c r="C39" i="2"/>
  <c r="I38" i="2"/>
  <c r="D38" i="2"/>
  <c r="C38" i="2"/>
  <c r="I37" i="2"/>
  <c r="D37" i="2"/>
  <c r="C37" i="2"/>
  <c r="I36" i="2"/>
  <c r="D36" i="2"/>
  <c r="C36" i="2"/>
  <c r="I35" i="2"/>
  <c r="D35" i="2"/>
  <c r="C35" i="2"/>
  <c r="I34" i="2"/>
  <c r="D34" i="2"/>
  <c r="C34" i="2"/>
  <c r="I33" i="2"/>
  <c r="D33" i="2"/>
  <c r="C33" i="2"/>
  <c r="I32" i="2"/>
  <c r="D32" i="2"/>
  <c r="C32" i="2"/>
  <c r="I31" i="2"/>
  <c r="D31" i="2"/>
  <c r="C31" i="2"/>
  <c r="I30" i="2"/>
  <c r="D30" i="2"/>
  <c r="C30" i="2"/>
  <c r="I29" i="2"/>
  <c r="D29" i="2"/>
  <c r="C29" i="2"/>
  <c r="I28" i="2"/>
  <c r="D28" i="2"/>
  <c r="C28" i="2"/>
  <c r="I27" i="2"/>
  <c r="D27" i="2"/>
  <c r="C27" i="2"/>
  <c r="I26" i="2"/>
  <c r="D26" i="2"/>
  <c r="C26" i="2"/>
  <c r="I25" i="2"/>
  <c r="D25" i="2"/>
  <c r="C25" i="2"/>
  <c r="I24" i="2"/>
  <c r="D24" i="2"/>
  <c r="C24" i="2"/>
  <c r="I23" i="2"/>
  <c r="D23" i="2"/>
  <c r="C23" i="2"/>
  <c r="I22" i="2"/>
  <c r="D22" i="2"/>
  <c r="C22" i="2"/>
  <c r="I21" i="2"/>
  <c r="D21" i="2"/>
  <c r="C21" i="2"/>
  <c r="I20" i="2"/>
  <c r="D20" i="2"/>
  <c r="C20" i="2"/>
  <c r="I19" i="2"/>
  <c r="D19" i="2"/>
  <c r="C19" i="2"/>
  <c r="I18" i="2"/>
  <c r="D18" i="2"/>
  <c r="C18" i="2"/>
  <c r="I17" i="2"/>
  <c r="D17" i="2"/>
  <c r="C17" i="2"/>
  <c r="I16" i="2"/>
  <c r="D16" i="2"/>
  <c r="C16" i="2"/>
  <c r="I15" i="2"/>
  <c r="D15" i="2"/>
  <c r="C15" i="2"/>
  <c r="I14" i="2"/>
  <c r="D14" i="2"/>
  <c r="C14" i="2"/>
  <c r="I13" i="2"/>
  <c r="D13" i="2"/>
  <c r="C13" i="2"/>
  <c r="I12" i="2"/>
  <c r="D12" i="2"/>
  <c r="C12" i="2"/>
  <c r="I11" i="2"/>
  <c r="D11" i="2"/>
  <c r="C11" i="2"/>
  <c r="I10" i="2"/>
  <c r="D10" i="2"/>
  <c r="C10" i="2"/>
  <c r="I9" i="2"/>
  <c r="D9" i="2"/>
  <c r="C9" i="2"/>
  <c r="I8" i="2"/>
  <c r="D8" i="2"/>
  <c r="C8" i="2"/>
  <c r="I7" i="2"/>
  <c r="D7" i="2"/>
  <c r="C7" i="2"/>
  <c r="I6" i="2"/>
  <c r="D6" i="2"/>
  <c r="C6" i="2"/>
  <c r="I5" i="2"/>
  <c r="D5" i="2"/>
  <c r="C5" i="2"/>
  <c r="I4" i="2"/>
  <c r="D4" i="2"/>
  <c r="C4" i="2"/>
  <c r="I3" i="2"/>
  <c r="D3" i="2"/>
  <c r="C3" i="2"/>
</calcChain>
</file>

<file path=xl/sharedStrings.xml><?xml version="1.0" encoding="utf-8"?>
<sst xmlns="http://schemas.openxmlformats.org/spreadsheetml/2006/main" count="408" uniqueCount="40">
  <si>
    <t>Fatture contabilizzate al 31-12-2024</t>
  </si>
  <si>
    <t>07-04-2025 -</t>
  </si>
  <si>
    <t>Tipo documento</t>
  </si>
  <si>
    <t>Data documento</t>
  </si>
  <si>
    <t>Numero documento</t>
  </si>
  <si>
    <t>Identificativo SDI</t>
  </si>
  <si>
    <t>Data registrazione interna</t>
  </si>
  <si>
    <t>Numero registrazione interna</t>
  </si>
  <si>
    <t>Codice beneficiario</t>
  </si>
  <si>
    <t>Ragione sociale</t>
  </si>
  <si>
    <t>Codice fiscale</t>
  </si>
  <si>
    <t>Partita IVA</t>
  </si>
  <si>
    <t>Descrizione fattura</t>
  </si>
  <si>
    <t>Totale fattura</t>
  </si>
  <si>
    <t>Stock del debito</t>
  </si>
  <si>
    <t>Data scadenza</t>
  </si>
  <si>
    <t>Data pagamento</t>
  </si>
  <si>
    <t>Ufficio fatturazione</t>
  </si>
  <si>
    <t>N</t>
  </si>
  <si>
    <t>A2A Energia SpA</t>
  </si>
  <si>
    <t>IT12883420155</t>
  </si>
  <si>
    <t>FORNITURA ENERGIA ELETTRICA periodo: 01.07.2024-31.10.2024 POD IT001E16429230 Contatore 000000000000241603 kWh 0</t>
  </si>
  <si>
    <t>9HHI1H</t>
  </si>
  <si>
    <t>HERA COMM SRL</t>
  </si>
  <si>
    <t>IT03819031208</t>
  </si>
  <si>
    <t>CONSUMO GAS **************** NOV24</t>
  </si>
  <si>
    <t>FORNITURA ENERGIA ELETTRICA periodo: 01.07.2024-30.09.2024 POD IT001E04221544 Contatore 000000000000113460 kWh 24</t>
  </si>
  <si>
    <t>ENEL ENERGIA S.P.A.</t>
  </si>
  <si>
    <t>IT15844561009</t>
  </si>
  <si>
    <t>Descrizione Contratto CONSIPEE20_VAR12_V_L3</t>
  </si>
  <si>
    <t>MARTA S.C.S. ONLUS</t>
  </si>
  <si>
    <t>IT01341140182</t>
  </si>
  <si>
    <t>Nota di credito a clienti PA</t>
  </si>
  <si>
    <t>GAS</t>
  </si>
  <si>
    <t>FORNITURA ENERGIA ELETTRICA periodo: 01.10.2023-30.11.2023 POD IT001E18579015 Contatore 000000000002218714 kWh 31</t>
  </si>
  <si>
    <t>TELECOM ITALIA SPA</t>
  </si>
  <si>
    <t>IT00488410010</t>
  </si>
  <si>
    <t>NOTA CREDITO PER AZZERAMENTO ERRATA FATTURA N. 6820210919001164</t>
  </si>
  <si>
    <t>Descrizione Contratto CONSIPEE17_3__V_FIX12M</t>
  </si>
  <si>
    <t>NOTA DI CREDITO SU CONSUMO ENERGIA ELETTRICA PER ILLUMINAZIONE PUBBLICA IN VIA MATTEOTTI MAGGIO-LUGLIO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</si>
</sst>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05E9A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 applyAlignment="1">
      <alignment horizontal="right"/>
    </xf>
    <xf numFmtId="21" fontId="18" fillId="0" borderId="10" xfId="0" applyNumberFormat="1" applyFont="1" applyBorder="1" applyAlignment="1">
      <alignment horizontal="left"/>
    </xf>
    <xf numFmtId="0" fontId="19" fillId="33" borderId="10" xfId="0" applyFont="1" applyFill="1" applyBorder="1" applyAlignment="1">
      <alignment horizontal="center"/>
    </xf>
    <xf numFmtId="0" fontId="0" fillId="0" borderId="11" xfId="0" applyBorder="1"/>
    <xf numFmtId="14" fontId="0" fillId="0" borderId="11" xfId="0" applyNumberFormat="1" applyBorder="1"/>
    <xf numFmtId="4" fontId="0" fillId="0" borderId="11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E948-17CB-4B51-89A2-F6F4F3D348BA}">
  <dimension ref="A1:P80"/>
  <sheetViews>
    <sheetView showGridLines="0" tabSelected="1" topLeftCell="G1" workbookViewId="0">
      <selection activeCell="G2" sqref="A2:XFD2"/>
    </sheetView>
  </sheetViews>
  <sheetFormatPr defaultRowHeight="15" x14ac:dyDescent="0.25"/>
  <cols>
    <col min="1" max="1" width="32.7109375" bestFit="1" customWidth="1"/>
    <col min="2" max="2" width="15.7109375" bestFit="1" customWidth="1"/>
    <col min="3" max="3" width="19.140625" bestFit="1" customWidth="1"/>
    <col min="4" max="4" width="16.28515625" bestFit="1" customWidth="1"/>
    <col min="5" max="5" width="24.28515625" bestFit="1" customWidth="1"/>
    <col min="6" max="6" width="27.7109375" bestFit="1" customWidth="1"/>
    <col min="7" max="7" width="18.42578125" bestFit="1" customWidth="1"/>
    <col min="8" max="8" width="19.42578125" bestFit="1" customWidth="1"/>
    <col min="9" max="9" width="13.28515625" bestFit="1" customWidth="1"/>
    <col min="10" max="10" width="13.7109375" bestFit="1" customWidth="1"/>
    <col min="11" max="11" width="36.5703125" bestFit="1" customWidth="1"/>
    <col min="12" max="12" width="13.140625" bestFit="1" customWidth="1"/>
    <col min="13" max="13" width="15.42578125" bestFit="1" customWidth="1"/>
    <col min="14" max="14" width="13.5703125" bestFit="1" customWidth="1"/>
    <col min="15" max="15" width="15.5703125" bestFit="1" customWidth="1"/>
    <col min="16" max="16" width="18.5703125" bestFit="1" customWidth="1"/>
  </cols>
  <sheetData>
    <row r="1" spans="1:16" x14ac:dyDescent="0.25">
      <c r="A1" s="1" t="s">
        <v>0</v>
      </c>
      <c r="B1" s="1" t="s">
        <v>1</v>
      </c>
      <c r="C1" s="2">
        <v>0.51012731481481477</v>
      </c>
    </row>
    <row r="2" spans="1:16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</row>
    <row r="3" spans="1:16" x14ac:dyDescent="0.25">
      <c r="A3" s="4" t="s">
        <v>18</v>
      </c>
      <c r="B3" s="5">
        <v>45623</v>
      </c>
      <c r="C3" s="4" t="str">
        <f>"824500392273"</f>
        <v>824500392273</v>
      </c>
      <c r="D3" s="4" t="str">
        <f>"13473494085"</f>
        <v>13473494085</v>
      </c>
      <c r="E3" s="5">
        <v>45691</v>
      </c>
      <c r="F3" s="4">
        <v>135</v>
      </c>
      <c r="G3" s="4">
        <v>5924</v>
      </c>
      <c r="H3" s="4" t="s">
        <v>19</v>
      </c>
      <c r="I3" s="4" t="str">
        <f>"12883420155"</f>
        <v>12883420155</v>
      </c>
      <c r="J3" s="4" t="s">
        <v>20</v>
      </c>
      <c r="K3" s="4" t="s">
        <v>21</v>
      </c>
      <c r="L3" s="4">
        <v>-76.97</v>
      </c>
      <c r="M3" s="4">
        <v>-63.09</v>
      </c>
      <c r="N3" s="5">
        <v>45655</v>
      </c>
      <c r="O3" s="4"/>
      <c r="P3" s="4" t="s">
        <v>22</v>
      </c>
    </row>
    <row r="4" spans="1:16" x14ac:dyDescent="0.25">
      <c r="A4" s="4" t="s">
        <v>18</v>
      </c>
      <c r="B4" s="5">
        <v>45616</v>
      </c>
      <c r="C4" s="4" t="str">
        <f>"422400504936"</f>
        <v>422400504936</v>
      </c>
      <c r="D4" s="4" t="str">
        <f>"13427659024"</f>
        <v>13427659024</v>
      </c>
      <c r="E4" s="5">
        <v>45635</v>
      </c>
      <c r="F4" s="4">
        <v>2063</v>
      </c>
      <c r="G4" s="4">
        <v>4836</v>
      </c>
      <c r="H4" s="4" t="s">
        <v>23</v>
      </c>
      <c r="I4" s="4" t="str">
        <f>"02221101203"</f>
        <v>02221101203</v>
      </c>
      <c r="J4" s="4" t="s">
        <v>24</v>
      </c>
      <c r="K4" s="4" t="s">
        <v>25</v>
      </c>
      <c r="L4" s="4">
        <v>-10</v>
      </c>
      <c r="M4" s="4">
        <v>-10</v>
      </c>
      <c r="N4" s="5">
        <v>45647</v>
      </c>
      <c r="O4" s="4"/>
      <c r="P4" s="4" t="s">
        <v>22</v>
      </c>
    </row>
    <row r="5" spans="1:16" x14ac:dyDescent="0.25">
      <c r="A5" s="4" t="s">
        <v>18</v>
      </c>
      <c r="B5" s="5">
        <v>45593</v>
      </c>
      <c r="C5" s="4" t="str">
        <f>"824500364262"</f>
        <v>824500364262</v>
      </c>
      <c r="D5" s="4" t="str">
        <f>"13258123305"</f>
        <v>13258123305</v>
      </c>
      <c r="E5" s="5">
        <v>45691</v>
      </c>
      <c r="F5" s="4">
        <v>134</v>
      </c>
      <c r="G5" s="4">
        <v>5924</v>
      </c>
      <c r="H5" s="4" t="s">
        <v>19</v>
      </c>
      <c r="I5" s="4" t="str">
        <f>"12883420155"</f>
        <v>12883420155</v>
      </c>
      <c r="J5" s="4" t="s">
        <v>20</v>
      </c>
      <c r="K5" s="4" t="s">
        <v>26</v>
      </c>
      <c r="L5" s="4">
        <v>-131.85</v>
      </c>
      <c r="M5" s="4">
        <v>-108.07</v>
      </c>
      <c r="N5" s="5">
        <v>45625</v>
      </c>
      <c r="O5" s="4"/>
      <c r="P5" s="4" t="s">
        <v>22</v>
      </c>
    </row>
    <row r="6" spans="1:16" x14ac:dyDescent="0.25">
      <c r="A6" s="4" t="s">
        <v>18</v>
      </c>
      <c r="B6" s="5">
        <v>45527</v>
      </c>
      <c r="C6" s="4" t="str">
        <f>"005066925785"</f>
        <v>005066925785</v>
      </c>
      <c r="D6" s="4" t="str">
        <f>"12810412833"</f>
        <v>12810412833</v>
      </c>
      <c r="E6" s="5">
        <v>45545</v>
      </c>
      <c r="F6" s="4">
        <v>1554</v>
      </c>
      <c r="G6" s="4">
        <v>5745</v>
      </c>
      <c r="H6" s="4" t="s">
        <v>27</v>
      </c>
      <c r="I6" s="4" t="str">
        <f t="shared" ref="I6:I33" si="0">"06655971007"</f>
        <v>06655971007</v>
      </c>
      <c r="J6" s="4" t="s">
        <v>28</v>
      </c>
      <c r="K6" s="4" t="s">
        <v>29</v>
      </c>
      <c r="L6" s="4">
        <v>-5.82</v>
      </c>
      <c r="M6" s="4">
        <v>-4.7699999999999996</v>
      </c>
      <c r="N6" s="5">
        <v>45562</v>
      </c>
      <c r="O6" s="4"/>
      <c r="P6" s="4" t="s">
        <v>22</v>
      </c>
    </row>
    <row r="7" spans="1:16" x14ac:dyDescent="0.25">
      <c r="A7" s="4" t="s">
        <v>18</v>
      </c>
      <c r="B7" s="5">
        <v>45527</v>
      </c>
      <c r="C7" s="4" t="str">
        <f>"005066925786"</f>
        <v>005066925786</v>
      </c>
      <c r="D7" s="4" t="str">
        <f>"12810299810"</f>
        <v>12810299810</v>
      </c>
      <c r="E7" s="5">
        <v>45545</v>
      </c>
      <c r="F7" s="4">
        <v>1536</v>
      </c>
      <c r="G7" s="4">
        <v>5745</v>
      </c>
      <c r="H7" s="4" t="s">
        <v>27</v>
      </c>
      <c r="I7" s="4" t="str">
        <f t="shared" si="0"/>
        <v>06655971007</v>
      </c>
      <c r="J7" s="4" t="s">
        <v>28</v>
      </c>
      <c r="K7" s="4" t="s">
        <v>29</v>
      </c>
      <c r="L7" s="4">
        <v>-1.1000000000000001</v>
      </c>
      <c r="M7" s="4">
        <v>-0.9</v>
      </c>
      <c r="N7" s="5">
        <v>45562</v>
      </c>
      <c r="O7" s="4"/>
      <c r="P7" s="4" t="s">
        <v>22</v>
      </c>
    </row>
    <row r="8" spans="1:16" x14ac:dyDescent="0.25">
      <c r="A8" s="4" t="s">
        <v>18</v>
      </c>
      <c r="B8" s="5">
        <v>45527</v>
      </c>
      <c r="C8" s="4" t="str">
        <f>"005066925787"</f>
        <v>005066925787</v>
      </c>
      <c r="D8" s="4" t="str">
        <f>"12810300099"</f>
        <v>12810300099</v>
      </c>
      <c r="E8" s="5">
        <v>45545</v>
      </c>
      <c r="F8" s="4">
        <v>1549</v>
      </c>
      <c r="G8" s="4">
        <v>5745</v>
      </c>
      <c r="H8" s="4" t="s">
        <v>27</v>
      </c>
      <c r="I8" s="4" t="str">
        <f t="shared" si="0"/>
        <v>06655971007</v>
      </c>
      <c r="J8" s="4" t="s">
        <v>28</v>
      </c>
      <c r="K8" s="4" t="s">
        <v>29</v>
      </c>
      <c r="L8" s="4">
        <v>-2.31</v>
      </c>
      <c r="M8" s="4">
        <v>-1.89</v>
      </c>
      <c r="N8" s="5">
        <v>45562</v>
      </c>
      <c r="O8" s="4"/>
      <c r="P8" s="4" t="s">
        <v>22</v>
      </c>
    </row>
    <row r="9" spans="1:16" x14ac:dyDescent="0.25">
      <c r="A9" s="4" t="s">
        <v>18</v>
      </c>
      <c r="B9" s="5">
        <v>45527</v>
      </c>
      <c r="C9" s="4" t="str">
        <f>"005066925788"</f>
        <v>005066925788</v>
      </c>
      <c r="D9" s="4" t="str">
        <f>"12810308695"</f>
        <v>12810308695</v>
      </c>
      <c r="E9" s="5">
        <v>45545</v>
      </c>
      <c r="F9" s="4">
        <v>1538</v>
      </c>
      <c r="G9" s="4">
        <v>5745</v>
      </c>
      <c r="H9" s="4" t="s">
        <v>27</v>
      </c>
      <c r="I9" s="4" t="str">
        <f t="shared" si="0"/>
        <v>06655971007</v>
      </c>
      <c r="J9" s="4" t="s">
        <v>28</v>
      </c>
      <c r="K9" s="4" t="s">
        <v>29</v>
      </c>
      <c r="L9" s="4">
        <v>-0.55000000000000004</v>
      </c>
      <c r="M9" s="4">
        <v>-0.45</v>
      </c>
      <c r="N9" s="5">
        <v>45562</v>
      </c>
      <c r="O9" s="4"/>
      <c r="P9" s="4" t="s">
        <v>22</v>
      </c>
    </row>
    <row r="10" spans="1:16" x14ac:dyDescent="0.25">
      <c r="A10" s="4" t="s">
        <v>18</v>
      </c>
      <c r="B10" s="5">
        <v>45527</v>
      </c>
      <c r="C10" s="4" t="str">
        <f>"005066925789"</f>
        <v>005066925789</v>
      </c>
      <c r="D10" s="4" t="str">
        <f>"12810231173"</f>
        <v>12810231173</v>
      </c>
      <c r="E10" s="5">
        <v>45545</v>
      </c>
      <c r="F10" s="4">
        <v>1532</v>
      </c>
      <c r="G10" s="4">
        <v>5745</v>
      </c>
      <c r="H10" s="4" t="s">
        <v>27</v>
      </c>
      <c r="I10" s="4" t="str">
        <f t="shared" si="0"/>
        <v>06655971007</v>
      </c>
      <c r="J10" s="4" t="s">
        <v>28</v>
      </c>
      <c r="K10" s="4" t="s">
        <v>29</v>
      </c>
      <c r="L10" s="4">
        <v>-0.59</v>
      </c>
      <c r="M10" s="4">
        <v>-0.48</v>
      </c>
      <c r="N10" s="5">
        <v>45562</v>
      </c>
      <c r="O10" s="4"/>
      <c r="P10" s="4" t="s">
        <v>22</v>
      </c>
    </row>
    <row r="11" spans="1:16" x14ac:dyDescent="0.25">
      <c r="A11" s="4" t="s">
        <v>18</v>
      </c>
      <c r="B11" s="5">
        <v>45527</v>
      </c>
      <c r="C11" s="4" t="str">
        <f>"005066925790"</f>
        <v>005066925790</v>
      </c>
      <c r="D11" s="4" t="str">
        <f>"12810316548"</f>
        <v>12810316548</v>
      </c>
      <c r="E11" s="5">
        <v>45545</v>
      </c>
      <c r="F11" s="4">
        <v>1545</v>
      </c>
      <c r="G11" s="4">
        <v>5745</v>
      </c>
      <c r="H11" s="4" t="s">
        <v>27</v>
      </c>
      <c r="I11" s="4" t="str">
        <f t="shared" si="0"/>
        <v>06655971007</v>
      </c>
      <c r="J11" s="4" t="s">
        <v>28</v>
      </c>
      <c r="K11" s="4" t="s">
        <v>29</v>
      </c>
      <c r="L11" s="4">
        <v>-7.78</v>
      </c>
      <c r="M11" s="4">
        <v>-6.38</v>
      </c>
      <c r="N11" s="5">
        <v>45562</v>
      </c>
      <c r="O11" s="4"/>
      <c r="P11" s="4" t="s">
        <v>22</v>
      </c>
    </row>
    <row r="12" spans="1:16" x14ac:dyDescent="0.25">
      <c r="A12" s="4" t="s">
        <v>18</v>
      </c>
      <c r="B12" s="5">
        <v>45527</v>
      </c>
      <c r="C12" s="4" t="str">
        <f>"005066925791"</f>
        <v>005066925791</v>
      </c>
      <c r="D12" s="4" t="str">
        <f>"12810412957"</f>
        <v>12810412957</v>
      </c>
      <c r="E12" s="5">
        <v>45545</v>
      </c>
      <c r="F12" s="4">
        <v>1557</v>
      </c>
      <c r="G12" s="4">
        <v>5745</v>
      </c>
      <c r="H12" s="4" t="s">
        <v>27</v>
      </c>
      <c r="I12" s="4" t="str">
        <f t="shared" si="0"/>
        <v>06655971007</v>
      </c>
      <c r="J12" s="4" t="s">
        <v>28</v>
      </c>
      <c r="K12" s="4" t="s">
        <v>29</v>
      </c>
      <c r="L12" s="4">
        <v>-1.33</v>
      </c>
      <c r="M12" s="4">
        <v>-1.0900000000000001</v>
      </c>
      <c r="N12" s="5">
        <v>45562</v>
      </c>
      <c r="O12" s="4"/>
      <c r="P12" s="4" t="s">
        <v>22</v>
      </c>
    </row>
    <row r="13" spans="1:16" x14ac:dyDescent="0.25">
      <c r="A13" s="4" t="s">
        <v>18</v>
      </c>
      <c r="B13" s="5">
        <v>45527</v>
      </c>
      <c r="C13" s="4" t="str">
        <f>"005066925792"</f>
        <v>005066925792</v>
      </c>
      <c r="D13" s="4" t="str">
        <f>"12810300054"</f>
        <v>12810300054</v>
      </c>
      <c r="E13" s="5">
        <v>45545</v>
      </c>
      <c r="F13" s="4">
        <v>1535</v>
      </c>
      <c r="G13" s="4">
        <v>5745</v>
      </c>
      <c r="H13" s="4" t="s">
        <v>27</v>
      </c>
      <c r="I13" s="4" t="str">
        <f t="shared" si="0"/>
        <v>06655971007</v>
      </c>
      <c r="J13" s="4" t="s">
        <v>28</v>
      </c>
      <c r="K13" s="4" t="s">
        <v>29</v>
      </c>
      <c r="L13" s="4">
        <v>-0.73</v>
      </c>
      <c r="M13" s="4">
        <v>-0.6</v>
      </c>
      <c r="N13" s="5">
        <v>45562</v>
      </c>
      <c r="O13" s="4"/>
      <c r="P13" s="4" t="s">
        <v>22</v>
      </c>
    </row>
    <row r="14" spans="1:16" x14ac:dyDescent="0.25">
      <c r="A14" s="4" t="s">
        <v>18</v>
      </c>
      <c r="B14" s="5">
        <v>45527</v>
      </c>
      <c r="C14" s="4" t="str">
        <f>"005066925793"</f>
        <v>005066925793</v>
      </c>
      <c r="D14" s="4" t="str">
        <f>"12810299892"</f>
        <v>12810299892</v>
      </c>
      <c r="E14" s="5">
        <v>45545</v>
      </c>
      <c r="F14" s="4">
        <v>1548</v>
      </c>
      <c r="G14" s="4">
        <v>5745</v>
      </c>
      <c r="H14" s="4" t="s">
        <v>27</v>
      </c>
      <c r="I14" s="4" t="str">
        <f t="shared" si="0"/>
        <v>06655971007</v>
      </c>
      <c r="J14" s="4" t="s">
        <v>28</v>
      </c>
      <c r="K14" s="4" t="s">
        <v>29</v>
      </c>
      <c r="L14" s="4">
        <v>-0.51</v>
      </c>
      <c r="M14" s="4">
        <v>-0.42</v>
      </c>
      <c r="N14" s="5">
        <v>45562</v>
      </c>
      <c r="O14" s="4"/>
      <c r="P14" s="4" t="s">
        <v>22</v>
      </c>
    </row>
    <row r="15" spans="1:16" x14ac:dyDescent="0.25">
      <c r="A15" s="4" t="s">
        <v>18</v>
      </c>
      <c r="B15" s="5">
        <v>45527</v>
      </c>
      <c r="C15" s="4" t="str">
        <f>"005066925794"</f>
        <v>005066925794</v>
      </c>
      <c r="D15" s="4" t="str">
        <f>"12810309044"</f>
        <v>12810309044</v>
      </c>
      <c r="E15" s="5">
        <v>45545</v>
      </c>
      <c r="F15" s="4">
        <v>1539</v>
      </c>
      <c r="G15" s="4">
        <v>5745</v>
      </c>
      <c r="H15" s="4" t="s">
        <v>27</v>
      </c>
      <c r="I15" s="4" t="str">
        <f t="shared" si="0"/>
        <v>06655971007</v>
      </c>
      <c r="J15" s="4" t="s">
        <v>28</v>
      </c>
      <c r="K15" s="4" t="s">
        <v>29</v>
      </c>
      <c r="L15" s="4">
        <v>-0.48</v>
      </c>
      <c r="M15" s="4">
        <v>-0.39</v>
      </c>
      <c r="N15" s="5">
        <v>45562</v>
      </c>
      <c r="O15" s="4"/>
      <c r="P15" s="4" t="s">
        <v>22</v>
      </c>
    </row>
    <row r="16" spans="1:16" x14ac:dyDescent="0.25">
      <c r="A16" s="4" t="s">
        <v>18</v>
      </c>
      <c r="B16" s="5">
        <v>45527</v>
      </c>
      <c r="C16" s="4" t="str">
        <f>"005066925795"</f>
        <v>005066925795</v>
      </c>
      <c r="D16" s="4" t="str">
        <f>"12810231123"</f>
        <v>12810231123</v>
      </c>
      <c r="E16" s="5">
        <v>45545</v>
      </c>
      <c r="F16" s="4">
        <v>1530</v>
      </c>
      <c r="G16" s="4">
        <v>5745</v>
      </c>
      <c r="H16" s="4" t="s">
        <v>27</v>
      </c>
      <c r="I16" s="4" t="str">
        <f t="shared" si="0"/>
        <v>06655971007</v>
      </c>
      <c r="J16" s="4" t="s">
        <v>28</v>
      </c>
      <c r="K16" s="4" t="s">
        <v>29</v>
      </c>
      <c r="L16" s="4">
        <v>-0.59</v>
      </c>
      <c r="M16" s="4">
        <v>-0.48</v>
      </c>
      <c r="N16" s="5">
        <v>45562</v>
      </c>
      <c r="O16" s="4"/>
      <c r="P16" s="4" t="s">
        <v>22</v>
      </c>
    </row>
    <row r="17" spans="1:16" x14ac:dyDescent="0.25">
      <c r="A17" s="4" t="s">
        <v>18</v>
      </c>
      <c r="B17" s="5">
        <v>45527</v>
      </c>
      <c r="C17" s="4" t="str">
        <f>"005066925796"</f>
        <v>005066925796</v>
      </c>
      <c r="D17" s="4" t="str">
        <f>"12810316454"</f>
        <v>12810316454</v>
      </c>
      <c r="E17" s="5">
        <v>45545</v>
      </c>
      <c r="F17" s="4">
        <v>1544</v>
      </c>
      <c r="G17" s="4">
        <v>5745</v>
      </c>
      <c r="H17" s="4" t="s">
        <v>27</v>
      </c>
      <c r="I17" s="4" t="str">
        <f t="shared" si="0"/>
        <v>06655971007</v>
      </c>
      <c r="J17" s="4" t="s">
        <v>28</v>
      </c>
      <c r="K17" s="4" t="s">
        <v>29</v>
      </c>
      <c r="L17" s="4">
        <v>-4.3099999999999996</v>
      </c>
      <c r="M17" s="4">
        <v>-3.53</v>
      </c>
      <c r="N17" s="5">
        <v>45562</v>
      </c>
      <c r="O17" s="4"/>
      <c r="P17" s="4" t="s">
        <v>22</v>
      </c>
    </row>
    <row r="18" spans="1:16" x14ac:dyDescent="0.25">
      <c r="A18" s="4" t="s">
        <v>18</v>
      </c>
      <c r="B18" s="5">
        <v>45527</v>
      </c>
      <c r="C18" s="4" t="str">
        <f>"005066925797"</f>
        <v>005066925797</v>
      </c>
      <c r="D18" s="4" t="str">
        <f>"12810412772"</f>
        <v>12810412772</v>
      </c>
      <c r="E18" s="5">
        <v>45545</v>
      </c>
      <c r="F18" s="4">
        <v>1553</v>
      </c>
      <c r="G18" s="4">
        <v>5745</v>
      </c>
      <c r="H18" s="4" t="s">
        <v>27</v>
      </c>
      <c r="I18" s="4" t="str">
        <f t="shared" si="0"/>
        <v>06655971007</v>
      </c>
      <c r="J18" s="4" t="s">
        <v>28</v>
      </c>
      <c r="K18" s="4" t="s">
        <v>29</v>
      </c>
      <c r="L18" s="4">
        <v>-3.31</v>
      </c>
      <c r="M18" s="4">
        <v>-2.71</v>
      </c>
      <c r="N18" s="5">
        <v>45562</v>
      </c>
      <c r="O18" s="4"/>
      <c r="P18" s="4" t="s">
        <v>22</v>
      </c>
    </row>
    <row r="19" spans="1:16" x14ac:dyDescent="0.25">
      <c r="A19" s="4" t="s">
        <v>18</v>
      </c>
      <c r="B19" s="5">
        <v>45527</v>
      </c>
      <c r="C19" s="4" t="str">
        <f>"005066925798"</f>
        <v>005066925798</v>
      </c>
      <c r="D19" s="4" t="str">
        <f>"12810300182"</f>
        <v>12810300182</v>
      </c>
      <c r="E19" s="5">
        <v>45545</v>
      </c>
      <c r="F19" s="4">
        <v>1537</v>
      </c>
      <c r="G19" s="4">
        <v>5745</v>
      </c>
      <c r="H19" s="4" t="s">
        <v>27</v>
      </c>
      <c r="I19" s="4" t="str">
        <f t="shared" si="0"/>
        <v>06655971007</v>
      </c>
      <c r="J19" s="4" t="s">
        <v>28</v>
      </c>
      <c r="K19" s="4" t="s">
        <v>29</v>
      </c>
      <c r="L19" s="4">
        <v>-0.05</v>
      </c>
      <c r="M19" s="4">
        <v>-0.04</v>
      </c>
      <c r="N19" s="5">
        <v>45562</v>
      </c>
      <c r="O19" s="4"/>
      <c r="P19" s="4" t="s">
        <v>22</v>
      </c>
    </row>
    <row r="20" spans="1:16" x14ac:dyDescent="0.25">
      <c r="A20" s="4" t="s">
        <v>18</v>
      </c>
      <c r="B20" s="5">
        <v>45527</v>
      </c>
      <c r="C20" s="4" t="str">
        <f>"005066925799"</f>
        <v>005066925799</v>
      </c>
      <c r="D20" s="4" t="str">
        <f>"12810300244"</f>
        <v>12810300244</v>
      </c>
      <c r="E20" s="5">
        <v>45545</v>
      </c>
      <c r="F20" s="4">
        <v>1550</v>
      </c>
      <c r="G20" s="4">
        <v>5745</v>
      </c>
      <c r="H20" s="4" t="s">
        <v>27</v>
      </c>
      <c r="I20" s="4" t="str">
        <f t="shared" si="0"/>
        <v>06655971007</v>
      </c>
      <c r="J20" s="4" t="s">
        <v>28</v>
      </c>
      <c r="K20" s="4" t="s">
        <v>29</v>
      </c>
      <c r="L20" s="4">
        <v>-2.21</v>
      </c>
      <c r="M20" s="4">
        <v>-1.81</v>
      </c>
      <c r="N20" s="5">
        <v>45562</v>
      </c>
      <c r="O20" s="4"/>
      <c r="P20" s="4" t="s">
        <v>22</v>
      </c>
    </row>
    <row r="21" spans="1:16" x14ac:dyDescent="0.25">
      <c r="A21" s="4" t="s">
        <v>18</v>
      </c>
      <c r="B21" s="5">
        <v>45527</v>
      </c>
      <c r="C21" s="4" t="str">
        <f>"005066925800"</f>
        <v>005066925800</v>
      </c>
      <c r="D21" s="4" t="str">
        <f>"12810309304"</f>
        <v>12810309304</v>
      </c>
      <c r="E21" s="5">
        <v>45545</v>
      </c>
      <c r="F21" s="4">
        <v>1540</v>
      </c>
      <c r="G21" s="4">
        <v>5745</v>
      </c>
      <c r="H21" s="4" t="s">
        <v>27</v>
      </c>
      <c r="I21" s="4" t="str">
        <f t="shared" si="0"/>
        <v>06655971007</v>
      </c>
      <c r="J21" s="4" t="s">
        <v>28</v>
      </c>
      <c r="K21" s="4" t="s">
        <v>29</v>
      </c>
      <c r="L21" s="4">
        <v>-6.08</v>
      </c>
      <c r="M21" s="4">
        <v>-4.9800000000000004</v>
      </c>
      <c r="N21" s="5">
        <v>45562</v>
      </c>
      <c r="O21" s="4"/>
      <c r="P21" s="4" t="s">
        <v>22</v>
      </c>
    </row>
    <row r="22" spans="1:16" x14ac:dyDescent="0.25">
      <c r="A22" s="4" t="s">
        <v>18</v>
      </c>
      <c r="B22" s="5">
        <v>45527</v>
      </c>
      <c r="C22" s="4" t="str">
        <f>"005066925801"</f>
        <v>005066925801</v>
      </c>
      <c r="D22" s="4" t="str">
        <f>"12810230856"</f>
        <v>12810230856</v>
      </c>
      <c r="E22" s="5">
        <v>45545</v>
      </c>
      <c r="F22" s="4">
        <v>1531</v>
      </c>
      <c r="G22" s="4">
        <v>5745</v>
      </c>
      <c r="H22" s="4" t="s">
        <v>27</v>
      </c>
      <c r="I22" s="4" t="str">
        <f t="shared" si="0"/>
        <v>06655971007</v>
      </c>
      <c r="J22" s="4" t="s">
        <v>28</v>
      </c>
      <c r="K22" s="4" t="s">
        <v>29</v>
      </c>
      <c r="L22" s="4">
        <v>-1.73</v>
      </c>
      <c r="M22" s="4">
        <v>-1.42</v>
      </c>
      <c r="N22" s="5">
        <v>45562</v>
      </c>
      <c r="O22" s="4"/>
      <c r="P22" s="4" t="s">
        <v>22</v>
      </c>
    </row>
    <row r="23" spans="1:16" x14ac:dyDescent="0.25">
      <c r="A23" s="4" t="s">
        <v>18</v>
      </c>
      <c r="B23" s="5">
        <v>45527</v>
      </c>
      <c r="C23" s="4" t="str">
        <f>"005066925802"</f>
        <v>005066925802</v>
      </c>
      <c r="D23" s="4" t="str">
        <f>"12810315966"</f>
        <v>12810315966</v>
      </c>
      <c r="E23" s="5">
        <v>45545</v>
      </c>
      <c r="F23" s="4">
        <v>1543</v>
      </c>
      <c r="G23" s="4">
        <v>5745</v>
      </c>
      <c r="H23" s="4" t="s">
        <v>27</v>
      </c>
      <c r="I23" s="4" t="str">
        <f t="shared" si="0"/>
        <v>06655971007</v>
      </c>
      <c r="J23" s="4" t="s">
        <v>28</v>
      </c>
      <c r="K23" s="4" t="s">
        <v>29</v>
      </c>
      <c r="L23" s="4">
        <v>-30.84</v>
      </c>
      <c r="M23" s="4">
        <v>-25.28</v>
      </c>
      <c r="N23" s="5">
        <v>45562</v>
      </c>
      <c r="O23" s="4"/>
      <c r="P23" s="4" t="s">
        <v>22</v>
      </c>
    </row>
    <row r="24" spans="1:16" x14ac:dyDescent="0.25">
      <c r="A24" s="4" t="s">
        <v>18</v>
      </c>
      <c r="B24" s="5">
        <v>45527</v>
      </c>
      <c r="C24" s="4" t="str">
        <f>"005066925803"</f>
        <v>005066925803</v>
      </c>
      <c r="D24" s="4" t="str">
        <f>"12810412948"</f>
        <v>12810412948</v>
      </c>
      <c r="E24" s="5">
        <v>45545</v>
      </c>
      <c r="F24" s="4">
        <v>1556</v>
      </c>
      <c r="G24" s="4">
        <v>5745</v>
      </c>
      <c r="H24" s="4" t="s">
        <v>27</v>
      </c>
      <c r="I24" s="4" t="str">
        <f t="shared" si="0"/>
        <v>06655971007</v>
      </c>
      <c r="J24" s="4" t="s">
        <v>28</v>
      </c>
      <c r="K24" s="4" t="s">
        <v>29</v>
      </c>
      <c r="L24" s="4">
        <v>-2.2400000000000002</v>
      </c>
      <c r="M24" s="4">
        <v>-1.84</v>
      </c>
      <c r="N24" s="5">
        <v>45562</v>
      </c>
      <c r="O24" s="4"/>
      <c r="P24" s="4" t="s">
        <v>22</v>
      </c>
    </row>
    <row r="25" spans="1:16" x14ac:dyDescent="0.25">
      <c r="A25" s="4" t="s">
        <v>18</v>
      </c>
      <c r="B25" s="5">
        <v>45527</v>
      </c>
      <c r="C25" s="4" t="str">
        <f>"005066925804"</f>
        <v>005066925804</v>
      </c>
      <c r="D25" s="4" t="str">
        <f>"12810232016"</f>
        <v>12810232016</v>
      </c>
      <c r="E25" s="5">
        <v>45545</v>
      </c>
      <c r="F25" s="4">
        <v>1533</v>
      </c>
      <c r="G25" s="4">
        <v>5745</v>
      </c>
      <c r="H25" s="4" t="s">
        <v>27</v>
      </c>
      <c r="I25" s="4" t="str">
        <f t="shared" si="0"/>
        <v>06655971007</v>
      </c>
      <c r="J25" s="4" t="s">
        <v>28</v>
      </c>
      <c r="K25" s="4" t="s">
        <v>29</v>
      </c>
      <c r="L25" s="4">
        <v>-0.16</v>
      </c>
      <c r="M25" s="4">
        <v>-0.13</v>
      </c>
      <c r="N25" s="5">
        <v>45562</v>
      </c>
      <c r="O25" s="4"/>
      <c r="P25" s="4" t="s">
        <v>22</v>
      </c>
    </row>
    <row r="26" spans="1:16" x14ac:dyDescent="0.25">
      <c r="A26" s="4" t="s">
        <v>18</v>
      </c>
      <c r="B26" s="5">
        <v>45527</v>
      </c>
      <c r="C26" s="4" t="str">
        <f>"005066925805"</f>
        <v>005066925805</v>
      </c>
      <c r="D26" s="4" t="str">
        <f>"12810300226"</f>
        <v>12810300226</v>
      </c>
      <c r="E26" s="5">
        <v>45545</v>
      </c>
      <c r="F26" s="4">
        <v>1551</v>
      </c>
      <c r="G26" s="4">
        <v>5745</v>
      </c>
      <c r="H26" s="4" t="s">
        <v>27</v>
      </c>
      <c r="I26" s="4" t="str">
        <f t="shared" si="0"/>
        <v>06655971007</v>
      </c>
      <c r="J26" s="4" t="s">
        <v>28</v>
      </c>
      <c r="K26" s="4" t="s">
        <v>29</v>
      </c>
      <c r="L26" s="4">
        <v>-0.43</v>
      </c>
      <c r="M26" s="4">
        <v>-0.35</v>
      </c>
      <c r="N26" s="5">
        <v>45562</v>
      </c>
      <c r="O26" s="4"/>
      <c r="P26" s="4" t="s">
        <v>22</v>
      </c>
    </row>
    <row r="27" spans="1:16" x14ac:dyDescent="0.25">
      <c r="A27" s="4" t="s">
        <v>18</v>
      </c>
      <c r="B27" s="5">
        <v>45527</v>
      </c>
      <c r="C27" s="4" t="str">
        <f>"005066925806"</f>
        <v>005066925806</v>
      </c>
      <c r="D27" s="4" t="str">
        <f>"12810310059"</f>
        <v>12810310059</v>
      </c>
      <c r="E27" s="5">
        <v>45545</v>
      </c>
      <c r="F27" s="4">
        <v>1542</v>
      </c>
      <c r="G27" s="4">
        <v>5745</v>
      </c>
      <c r="H27" s="4" t="s">
        <v>27</v>
      </c>
      <c r="I27" s="4" t="str">
        <f t="shared" si="0"/>
        <v>06655971007</v>
      </c>
      <c r="J27" s="4" t="s">
        <v>28</v>
      </c>
      <c r="K27" s="4" t="s">
        <v>29</v>
      </c>
      <c r="L27" s="4">
        <v>-1.43</v>
      </c>
      <c r="M27" s="4">
        <v>-1.17</v>
      </c>
      <c r="N27" s="5">
        <v>45562</v>
      </c>
      <c r="O27" s="4"/>
      <c r="P27" s="4" t="s">
        <v>22</v>
      </c>
    </row>
    <row r="28" spans="1:16" x14ac:dyDescent="0.25">
      <c r="A28" s="4" t="s">
        <v>18</v>
      </c>
      <c r="B28" s="5">
        <v>45527</v>
      </c>
      <c r="C28" s="4" t="str">
        <f>"005066925807"</f>
        <v>005066925807</v>
      </c>
      <c r="D28" s="4" t="str">
        <f>"12810231136"</f>
        <v>12810231136</v>
      </c>
      <c r="E28" s="5">
        <v>45545</v>
      </c>
      <c r="F28" s="4">
        <v>1529</v>
      </c>
      <c r="G28" s="4">
        <v>5745</v>
      </c>
      <c r="H28" s="4" t="s">
        <v>27</v>
      </c>
      <c r="I28" s="4" t="str">
        <f t="shared" si="0"/>
        <v>06655971007</v>
      </c>
      <c r="J28" s="4" t="s">
        <v>28</v>
      </c>
      <c r="K28" s="4" t="s">
        <v>29</v>
      </c>
      <c r="L28" s="4">
        <v>-15.63</v>
      </c>
      <c r="M28" s="4">
        <v>-12.81</v>
      </c>
      <c r="N28" s="5">
        <v>45562</v>
      </c>
      <c r="O28" s="4"/>
      <c r="P28" s="4" t="s">
        <v>22</v>
      </c>
    </row>
    <row r="29" spans="1:16" x14ac:dyDescent="0.25">
      <c r="A29" s="4" t="s">
        <v>18</v>
      </c>
      <c r="B29" s="5">
        <v>45527</v>
      </c>
      <c r="C29" s="4" t="str">
        <f>"005066925808"</f>
        <v>005066925808</v>
      </c>
      <c r="D29" s="4" t="str">
        <f>"12810299434"</f>
        <v>12810299434</v>
      </c>
      <c r="E29" s="5">
        <v>45545</v>
      </c>
      <c r="F29" s="4">
        <v>1547</v>
      </c>
      <c r="G29" s="4">
        <v>5745</v>
      </c>
      <c r="H29" s="4" t="s">
        <v>27</v>
      </c>
      <c r="I29" s="4" t="str">
        <f t="shared" si="0"/>
        <v>06655971007</v>
      </c>
      <c r="J29" s="4" t="s">
        <v>28</v>
      </c>
      <c r="K29" s="4" t="s">
        <v>29</v>
      </c>
      <c r="L29" s="4">
        <v>-6.5</v>
      </c>
      <c r="M29" s="4">
        <v>-5.33</v>
      </c>
      <c r="N29" s="5">
        <v>45562</v>
      </c>
      <c r="O29" s="4"/>
      <c r="P29" s="4" t="s">
        <v>22</v>
      </c>
    </row>
    <row r="30" spans="1:16" x14ac:dyDescent="0.25">
      <c r="A30" s="4" t="s">
        <v>18</v>
      </c>
      <c r="B30" s="5">
        <v>45527</v>
      </c>
      <c r="C30" s="4" t="str">
        <f>"005066925809"</f>
        <v>005066925809</v>
      </c>
      <c r="D30" s="4" t="str">
        <f>"12810413056"</f>
        <v>12810413056</v>
      </c>
      <c r="E30" s="5">
        <v>45545</v>
      </c>
      <c r="F30" s="4">
        <v>1555</v>
      </c>
      <c r="G30" s="4">
        <v>5745</v>
      </c>
      <c r="H30" s="4" t="s">
        <v>27</v>
      </c>
      <c r="I30" s="4" t="str">
        <f t="shared" si="0"/>
        <v>06655971007</v>
      </c>
      <c r="J30" s="4" t="s">
        <v>28</v>
      </c>
      <c r="K30" s="4" t="s">
        <v>29</v>
      </c>
      <c r="L30" s="4">
        <v>-0.06</v>
      </c>
      <c r="M30" s="4">
        <v>-0.05</v>
      </c>
      <c r="N30" s="5">
        <v>45562</v>
      </c>
      <c r="O30" s="4"/>
      <c r="P30" s="4" t="s">
        <v>22</v>
      </c>
    </row>
    <row r="31" spans="1:16" x14ac:dyDescent="0.25">
      <c r="A31" s="4" t="s">
        <v>18</v>
      </c>
      <c r="B31" s="5">
        <v>45527</v>
      </c>
      <c r="C31" s="4" t="str">
        <f>"005066925810"</f>
        <v>005066925810</v>
      </c>
      <c r="D31" s="4" t="str">
        <f>"12810300009"</f>
        <v>12810300009</v>
      </c>
      <c r="E31" s="5">
        <v>45545</v>
      </c>
      <c r="F31" s="4">
        <v>1534</v>
      </c>
      <c r="G31" s="4">
        <v>5745</v>
      </c>
      <c r="H31" s="4" t="s">
        <v>27</v>
      </c>
      <c r="I31" s="4" t="str">
        <f t="shared" si="0"/>
        <v>06655971007</v>
      </c>
      <c r="J31" s="4" t="s">
        <v>28</v>
      </c>
      <c r="K31" s="4" t="s">
        <v>29</v>
      </c>
      <c r="L31" s="4">
        <v>-0.27</v>
      </c>
      <c r="M31" s="4">
        <v>-0.22</v>
      </c>
      <c r="N31" s="5">
        <v>45562</v>
      </c>
      <c r="O31" s="4"/>
      <c r="P31" s="4" t="s">
        <v>22</v>
      </c>
    </row>
    <row r="32" spans="1:16" x14ac:dyDescent="0.25">
      <c r="A32" s="4" t="s">
        <v>18</v>
      </c>
      <c r="B32" s="5">
        <v>45527</v>
      </c>
      <c r="C32" s="4" t="str">
        <f>"005066925811"</f>
        <v>005066925811</v>
      </c>
      <c r="D32" s="4" t="str">
        <f>"12810300234"</f>
        <v>12810300234</v>
      </c>
      <c r="E32" s="5">
        <v>45545</v>
      </c>
      <c r="F32" s="4">
        <v>1552</v>
      </c>
      <c r="G32" s="4">
        <v>5745</v>
      </c>
      <c r="H32" s="4" t="s">
        <v>27</v>
      </c>
      <c r="I32" s="4" t="str">
        <f t="shared" si="0"/>
        <v>06655971007</v>
      </c>
      <c r="J32" s="4" t="s">
        <v>28</v>
      </c>
      <c r="K32" s="4" t="s">
        <v>29</v>
      </c>
      <c r="L32" s="4">
        <v>-0.28000000000000003</v>
      </c>
      <c r="M32" s="4">
        <v>-0.23</v>
      </c>
      <c r="N32" s="5">
        <v>45562</v>
      </c>
      <c r="O32" s="4"/>
      <c r="P32" s="4" t="s">
        <v>22</v>
      </c>
    </row>
    <row r="33" spans="1:16" x14ac:dyDescent="0.25">
      <c r="A33" s="4" t="s">
        <v>18</v>
      </c>
      <c r="B33" s="5">
        <v>45527</v>
      </c>
      <c r="C33" s="4" t="str">
        <f>"005066925812"</f>
        <v>005066925812</v>
      </c>
      <c r="D33" s="4" t="str">
        <f>"12810309519"</f>
        <v>12810309519</v>
      </c>
      <c r="E33" s="5">
        <v>45545</v>
      </c>
      <c r="F33" s="4">
        <v>1541</v>
      </c>
      <c r="G33" s="4">
        <v>5745</v>
      </c>
      <c r="H33" s="4" t="s">
        <v>27</v>
      </c>
      <c r="I33" s="4" t="str">
        <f t="shared" si="0"/>
        <v>06655971007</v>
      </c>
      <c r="J33" s="4" t="s">
        <v>28</v>
      </c>
      <c r="K33" s="4" t="s">
        <v>29</v>
      </c>
      <c r="L33" s="4">
        <v>-9.25</v>
      </c>
      <c r="M33" s="4">
        <v>-7.58</v>
      </c>
      <c r="N33" s="5">
        <v>45562</v>
      </c>
      <c r="O33" s="4"/>
      <c r="P33" s="4" t="s">
        <v>22</v>
      </c>
    </row>
    <row r="34" spans="1:16" x14ac:dyDescent="0.25">
      <c r="A34" s="4" t="s">
        <v>18</v>
      </c>
      <c r="B34" s="5">
        <v>45344</v>
      </c>
      <c r="C34" s="4" t="str">
        <f>"5/ELINC"</f>
        <v>5/ELINC</v>
      </c>
      <c r="D34" s="4" t="str">
        <f>"11549781809"</f>
        <v>11549781809</v>
      </c>
      <c r="E34" s="5">
        <v>45352</v>
      </c>
      <c r="F34" s="4">
        <v>418</v>
      </c>
      <c r="G34" s="4">
        <v>2014</v>
      </c>
      <c r="H34" s="4" t="s">
        <v>30</v>
      </c>
      <c r="I34" s="4" t="str">
        <f>"01341140182"</f>
        <v>01341140182</v>
      </c>
      <c r="J34" s="4" t="s">
        <v>31</v>
      </c>
      <c r="K34" s="4" t="s">
        <v>32</v>
      </c>
      <c r="L34" s="6">
        <v>-1125.74</v>
      </c>
      <c r="M34" s="6">
        <v>-1072.1300000000001</v>
      </c>
      <c r="N34" s="5">
        <v>45374</v>
      </c>
      <c r="O34" s="4"/>
      <c r="P34" s="4" t="s">
        <v>22</v>
      </c>
    </row>
    <row r="35" spans="1:16" x14ac:dyDescent="0.25">
      <c r="A35" s="4" t="s">
        <v>18</v>
      </c>
      <c r="B35" s="5">
        <v>45334</v>
      </c>
      <c r="C35" s="4" t="str">
        <f>"422400035834"</f>
        <v>422400035834</v>
      </c>
      <c r="D35" s="4" t="str">
        <f>"11495734487"</f>
        <v>11495734487</v>
      </c>
      <c r="E35" s="5">
        <v>45352</v>
      </c>
      <c r="F35" s="4">
        <v>440</v>
      </c>
      <c r="G35" s="4">
        <v>4836</v>
      </c>
      <c r="H35" s="4" t="s">
        <v>23</v>
      </c>
      <c r="I35" s="4" t="str">
        <f>"02221101203"</f>
        <v>02221101203</v>
      </c>
      <c r="J35" s="4" t="s">
        <v>24</v>
      </c>
      <c r="K35" s="4" t="s">
        <v>33</v>
      </c>
      <c r="L35" s="4">
        <v>-25</v>
      </c>
      <c r="M35" s="4">
        <v>-25</v>
      </c>
      <c r="N35" s="5">
        <v>45366</v>
      </c>
      <c r="O35" s="4"/>
      <c r="P35" s="4" t="s">
        <v>22</v>
      </c>
    </row>
    <row r="36" spans="1:16" x14ac:dyDescent="0.25">
      <c r="A36" s="4" t="s">
        <v>18</v>
      </c>
      <c r="B36" s="5">
        <v>45289</v>
      </c>
      <c r="C36" s="4" t="str">
        <f>"823500047564"</f>
        <v>823500047564</v>
      </c>
      <c r="D36" s="4" t="str">
        <f>"11192043826"</f>
        <v>11192043826</v>
      </c>
      <c r="E36" s="5">
        <v>45327</v>
      </c>
      <c r="F36" s="4">
        <v>52</v>
      </c>
      <c r="G36" s="4">
        <v>5924</v>
      </c>
      <c r="H36" s="4" t="s">
        <v>19</v>
      </c>
      <c r="I36" s="4" t="str">
        <f>"12883420155"</f>
        <v>12883420155</v>
      </c>
      <c r="J36" s="4" t="s">
        <v>20</v>
      </c>
      <c r="K36" s="4" t="s">
        <v>34</v>
      </c>
      <c r="L36" s="4">
        <v>-1.68</v>
      </c>
      <c r="M36" s="4">
        <v>-8.85</v>
      </c>
      <c r="N36" s="5">
        <v>45320</v>
      </c>
      <c r="O36" s="4"/>
      <c r="P36" s="4" t="s">
        <v>22</v>
      </c>
    </row>
    <row r="37" spans="1:16" x14ac:dyDescent="0.25">
      <c r="A37" s="4" t="s">
        <v>18</v>
      </c>
      <c r="B37" s="5">
        <v>44461</v>
      </c>
      <c r="C37" s="4" t="str">
        <f>"6920210919002408"</f>
        <v>6920210919002408</v>
      </c>
      <c r="D37" s="4" t="str">
        <f>"5904491673"</f>
        <v>5904491673</v>
      </c>
      <c r="E37" s="5">
        <v>44496</v>
      </c>
      <c r="F37" s="4">
        <v>1698</v>
      </c>
      <c r="G37" s="4">
        <v>124</v>
      </c>
      <c r="H37" s="4" t="s">
        <v>35</v>
      </c>
      <c r="I37" s="4" t="str">
        <f>"00488410010"</f>
        <v>00488410010</v>
      </c>
      <c r="J37" s="4" t="s">
        <v>36</v>
      </c>
      <c r="K37" s="4" t="s">
        <v>37</v>
      </c>
      <c r="L37" s="4">
        <v>-242</v>
      </c>
      <c r="M37" s="4">
        <v>-242</v>
      </c>
      <c r="N37" s="5">
        <v>44505</v>
      </c>
      <c r="O37" s="4"/>
      <c r="P37" s="4" t="s">
        <v>22</v>
      </c>
    </row>
    <row r="38" spans="1:16" x14ac:dyDescent="0.25">
      <c r="A38" s="4" t="s">
        <v>18</v>
      </c>
      <c r="B38" s="5">
        <v>44450</v>
      </c>
      <c r="C38" s="4" t="str">
        <f>"004163003614"</f>
        <v>004163003614</v>
      </c>
      <c r="D38" s="4" t="str">
        <f>"5769605076"</f>
        <v>5769605076</v>
      </c>
      <c r="E38" s="5">
        <v>44480</v>
      </c>
      <c r="F38" s="4">
        <v>1593</v>
      </c>
      <c r="G38" s="4">
        <v>5745</v>
      </c>
      <c r="H38" s="4" t="s">
        <v>27</v>
      </c>
      <c r="I38" s="4" t="str">
        <f t="shared" ref="I38:I80" si="1">"06655971007"</f>
        <v>06655971007</v>
      </c>
      <c r="J38" s="4" t="s">
        <v>28</v>
      </c>
      <c r="K38" s="4" t="s">
        <v>38</v>
      </c>
      <c r="L38" s="4">
        <v>-0.17</v>
      </c>
      <c r="M38" s="4">
        <v>-0.14000000000000001</v>
      </c>
      <c r="N38" s="5">
        <v>44487</v>
      </c>
      <c r="O38" s="4"/>
      <c r="P38" s="4" t="s">
        <v>22</v>
      </c>
    </row>
    <row r="39" spans="1:16" x14ac:dyDescent="0.25">
      <c r="A39" s="4" t="s">
        <v>18</v>
      </c>
      <c r="B39" s="5">
        <v>44450</v>
      </c>
      <c r="C39" s="4" t="str">
        <f>"004163003615"</f>
        <v>004163003615</v>
      </c>
      <c r="D39" s="4" t="str">
        <f>"5769594875"</f>
        <v>5769594875</v>
      </c>
      <c r="E39" s="5">
        <v>44480</v>
      </c>
      <c r="F39" s="4">
        <v>1576</v>
      </c>
      <c r="G39" s="4">
        <v>5745</v>
      </c>
      <c r="H39" s="4" t="s">
        <v>27</v>
      </c>
      <c r="I39" s="4" t="str">
        <f t="shared" si="1"/>
        <v>06655971007</v>
      </c>
      <c r="J39" s="4" t="s">
        <v>28</v>
      </c>
      <c r="K39" s="4" t="s">
        <v>38</v>
      </c>
      <c r="L39" s="4">
        <v>-7.0000000000000007E-2</v>
      </c>
      <c r="M39" s="4">
        <v>-0.06</v>
      </c>
      <c r="N39" s="5">
        <v>44487</v>
      </c>
      <c r="O39" s="4"/>
      <c r="P39" s="4" t="s">
        <v>22</v>
      </c>
    </row>
    <row r="40" spans="1:16" x14ac:dyDescent="0.25">
      <c r="A40" s="4" t="s">
        <v>18</v>
      </c>
      <c r="B40" s="5">
        <v>44450</v>
      </c>
      <c r="C40" s="4" t="str">
        <f>"004163003616"</f>
        <v>004163003616</v>
      </c>
      <c r="D40" s="4" t="str">
        <f>"5768504083"</f>
        <v>5768504083</v>
      </c>
      <c r="E40" s="5">
        <v>44480</v>
      </c>
      <c r="F40" s="4">
        <v>1603</v>
      </c>
      <c r="G40" s="4">
        <v>5745</v>
      </c>
      <c r="H40" s="4" t="s">
        <v>27</v>
      </c>
      <c r="I40" s="4" t="str">
        <f t="shared" si="1"/>
        <v>06655971007</v>
      </c>
      <c r="J40" s="4" t="s">
        <v>28</v>
      </c>
      <c r="K40" s="4" t="s">
        <v>38</v>
      </c>
      <c r="L40" s="4">
        <v>-0.16</v>
      </c>
      <c r="M40" s="4">
        <v>-0.13</v>
      </c>
      <c r="N40" s="5">
        <v>44487</v>
      </c>
      <c r="O40" s="4"/>
      <c r="P40" s="4" t="s">
        <v>22</v>
      </c>
    </row>
    <row r="41" spans="1:16" x14ac:dyDescent="0.25">
      <c r="A41" s="4" t="s">
        <v>18</v>
      </c>
      <c r="B41" s="5">
        <v>44450</v>
      </c>
      <c r="C41" s="4" t="str">
        <f>"004163003617"</f>
        <v>004163003617</v>
      </c>
      <c r="D41" s="4" t="str">
        <f>"5768523314"</f>
        <v>5768523314</v>
      </c>
      <c r="E41" s="5">
        <v>44480</v>
      </c>
      <c r="F41" s="4">
        <v>1616</v>
      </c>
      <c r="G41" s="4">
        <v>5745</v>
      </c>
      <c r="H41" s="4" t="s">
        <v>27</v>
      </c>
      <c r="I41" s="4" t="str">
        <f t="shared" si="1"/>
        <v>06655971007</v>
      </c>
      <c r="J41" s="4" t="s">
        <v>28</v>
      </c>
      <c r="K41" s="4" t="s">
        <v>38</v>
      </c>
      <c r="L41" s="4">
        <v>-0.02</v>
      </c>
      <c r="M41" s="4">
        <v>-0.02</v>
      </c>
      <c r="N41" s="5">
        <v>44487</v>
      </c>
      <c r="O41" s="4"/>
      <c r="P41" s="4" t="s">
        <v>22</v>
      </c>
    </row>
    <row r="42" spans="1:16" x14ac:dyDescent="0.25">
      <c r="A42" s="4" t="s">
        <v>18</v>
      </c>
      <c r="B42" s="5">
        <v>44450</v>
      </c>
      <c r="C42" s="4" t="str">
        <f>"004163003618"</f>
        <v>004163003618</v>
      </c>
      <c r="D42" s="4" t="str">
        <f>"5769593651"</f>
        <v>5769593651</v>
      </c>
      <c r="E42" s="5">
        <v>44480</v>
      </c>
      <c r="F42" s="4">
        <v>1588</v>
      </c>
      <c r="G42" s="4">
        <v>5745</v>
      </c>
      <c r="H42" s="4" t="s">
        <v>27</v>
      </c>
      <c r="I42" s="4" t="str">
        <f t="shared" si="1"/>
        <v>06655971007</v>
      </c>
      <c r="J42" s="4" t="s">
        <v>28</v>
      </c>
      <c r="K42" s="4" t="s">
        <v>38</v>
      </c>
      <c r="L42" s="4">
        <v>-0.09</v>
      </c>
      <c r="M42" s="4">
        <v>-7.0000000000000007E-2</v>
      </c>
      <c r="N42" s="5">
        <v>44487</v>
      </c>
      <c r="O42" s="4"/>
      <c r="P42" s="4" t="s">
        <v>22</v>
      </c>
    </row>
    <row r="43" spans="1:16" x14ac:dyDescent="0.25">
      <c r="A43" s="4" t="s">
        <v>18</v>
      </c>
      <c r="B43" s="5">
        <v>44450</v>
      </c>
      <c r="C43" s="4" t="str">
        <f>"004163003619"</f>
        <v>004163003619</v>
      </c>
      <c r="D43" s="4" t="str">
        <f>"5768532548"</f>
        <v>5768532548</v>
      </c>
      <c r="E43" s="5">
        <v>44480</v>
      </c>
      <c r="F43" s="4">
        <v>1617</v>
      </c>
      <c r="G43" s="4">
        <v>5745</v>
      </c>
      <c r="H43" s="4" t="s">
        <v>27</v>
      </c>
      <c r="I43" s="4" t="str">
        <f t="shared" si="1"/>
        <v>06655971007</v>
      </c>
      <c r="J43" s="4" t="s">
        <v>28</v>
      </c>
      <c r="K43" s="4" t="s">
        <v>38</v>
      </c>
      <c r="L43" s="4">
        <v>-0.05</v>
      </c>
      <c r="M43" s="4">
        <v>-0.04</v>
      </c>
      <c r="N43" s="5">
        <v>44487</v>
      </c>
      <c r="O43" s="4"/>
      <c r="P43" s="4" t="s">
        <v>22</v>
      </c>
    </row>
    <row r="44" spans="1:16" x14ac:dyDescent="0.25">
      <c r="A44" s="4" t="s">
        <v>18</v>
      </c>
      <c r="B44" s="5">
        <v>44450</v>
      </c>
      <c r="C44" s="4" t="str">
        <f>"004163003620"</f>
        <v>004163003620</v>
      </c>
      <c r="D44" s="4" t="str">
        <f>"5768501294"</f>
        <v>5768501294</v>
      </c>
      <c r="E44" s="5">
        <v>44480</v>
      </c>
      <c r="F44" s="4">
        <v>1626</v>
      </c>
      <c r="G44" s="4">
        <v>5745</v>
      </c>
      <c r="H44" s="4" t="s">
        <v>27</v>
      </c>
      <c r="I44" s="4" t="str">
        <f t="shared" si="1"/>
        <v>06655971007</v>
      </c>
      <c r="J44" s="4" t="s">
        <v>28</v>
      </c>
      <c r="K44" s="4" t="s">
        <v>38</v>
      </c>
      <c r="L44" s="4">
        <v>-0.05</v>
      </c>
      <c r="M44" s="4">
        <v>-0.04</v>
      </c>
      <c r="N44" s="5">
        <v>44487</v>
      </c>
      <c r="O44" s="4"/>
      <c r="P44" s="4" t="s">
        <v>22</v>
      </c>
    </row>
    <row r="45" spans="1:16" x14ac:dyDescent="0.25">
      <c r="A45" s="4" t="s">
        <v>18</v>
      </c>
      <c r="B45" s="5">
        <v>44450</v>
      </c>
      <c r="C45" s="4" t="str">
        <f>"004163003621"</f>
        <v>004163003621</v>
      </c>
      <c r="D45" s="4" t="str">
        <f>"5768499647"</f>
        <v>5768499647</v>
      </c>
      <c r="E45" s="5">
        <v>44480</v>
      </c>
      <c r="F45" s="4">
        <v>1622</v>
      </c>
      <c r="G45" s="4">
        <v>5745</v>
      </c>
      <c r="H45" s="4" t="s">
        <v>27</v>
      </c>
      <c r="I45" s="4" t="str">
        <f t="shared" si="1"/>
        <v>06655971007</v>
      </c>
      <c r="J45" s="4" t="s">
        <v>28</v>
      </c>
      <c r="K45" s="4" t="s">
        <v>38</v>
      </c>
      <c r="L45" s="4">
        <v>-0.1</v>
      </c>
      <c r="M45" s="4">
        <v>-0.08</v>
      </c>
      <c r="N45" s="5">
        <v>44487</v>
      </c>
      <c r="O45" s="4"/>
      <c r="P45" s="4" t="s">
        <v>22</v>
      </c>
    </row>
    <row r="46" spans="1:16" x14ac:dyDescent="0.25">
      <c r="A46" s="4" t="s">
        <v>18</v>
      </c>
      <c r="B46" s="5">
        <v>44450</v>
      </c>
      <c r="C46" s="4" t="str">
        <f>"004163003622"</f>
        <v>004163003622</v>
      </c>
      <c r="D46" s="4" t="str">
        <f>"5768508492"</f>
        <v>5768508492</v>
      </c>
      <c r="E46" s="5">
        <v>44480</v>
      </c>
      <c r="F46" s="4">
        <v>1605</v>
      </c>
      <c r="G46" s="4">
        <v>5745</v>
      </c>
      <c r="H46" s="4" t="s">
        <v>27</v>
      </c>
      <c r="I46" s="4" t="str">
        <f t="shared" si="1"/>
        <v>06655971007</v>
      </c>
      <c r="J46" s="4" t="s">
        <v>28</v>
      </c>
      <c r="K46" s="4" t="s">
        <v>38</v>
      </c>
      <c r="L46" s="4">
        <v>-0.01</v>
      </c>
      <c r="M46" s="4">
        <v>-0.01</v>
      </c>
      <c r="N46" s="5">
        <v>44487</v>
      </c>
      <c r="O46" s="4"/>
      <c r="P46" s="4" t="s">
        <v>22</v>
      </c>
    </row>
    <row r="47" spans="1:16" x14ac:dyDescent="0.25">
      <c r="A47" s="4" t="s">
        <v>18</v>
      </c>
      <c r="B47" s="5">
        <v>44450</v>
      </c>
      <c r="C47" s="4" t="str">
        <f>"004163003623"</f>
        <v>004163003623</v>
      </c>
      <c r="D47" s="4" t="str">
        <f>"5768538056"</f>
        <v>5768538056</v>
      </c>
      <c r="E47" s="5">
        <v>44480</v>
      </c>
      <c r="F47" s="4">
        <v>1628</v>
      </c>
      <c r="G47" s="4">
        <v>5745</v>
      </c>
      <c r="H47" s="4" t="s">
        <v>27</v>
      </c>
      <c r="I47" s="4" t="str">
        <f t="shared" si="1"/>
        <v>06655971007</v>
      </c>
      <c r="J47" s="4" t="s">
        <v>28</v>
      </c>
      <c r="K47" s="4" t="s">
        <v>38</v>
      </c>
      <c r="L47" s="4">
        <v>-0.02</v>
      </c>
      <c r="M47" s="4">
        <v>-0.02</v>
      </c>
      <c r="N47" s="5">
        <v>44487</v>
      </c>
      <c r="O47" s="4"/>
      <c r="P47" s="4" t="s">
        <v>22</v>
      </c>
    </row>
    <row r="48" spans="1:16" x14ac:dyDescent="0.25">
      <c r="A48" s="4" t="s">
        <v>18</v>
      </c>
      <c r="B48" s="5">
        <v>44450</v>
      </c>
      <c r="C48" s="4" t="str">
        <f>"004163003624"</f>
        <v>004163003624</v>
      </c>
      <c r="D48" s="4" t="str">
        <f>"5768528591"</f>
        <v>5768528591</v>
      </c>
      <c r="E48" s="5">
        <v>44480</v>
      </c>
      <c r="F48" s="4">
        <v>1608</v>
      </c>
      <c r="G48" s="4">
        <v>5745</v>
      </c>
      <c r="H48" s="4" t="s">
        <v>27</v>
      </c>
      <c r="I48" s="4" t="str">
        <f t="shared" si="1"/>
        <v>06655971007</v>
      </c>
      <c r="J48" s="4" t="s">
        <v>28</v>
      </c>
      <c r="K48" s="4" t="s">
        <v>38</v>
      </c>
      <c r="L48" s="4">
        <v>-0.4</v>
      </c>
      <c r="M48" s="4">
        <v>-0.33</v>
      </c>
      <c r="N48" s="5">
        <v>44487</v>
      </c>
      <c r="O48" s="4"/>
      <c r="P48" s="4" t="s">
        <v>22</v>
      </c>
    </row>
    <row r="49" spans="1:16" x14ac:dyDescent="0.25">
      <c r="A49" s="4" t="s">
        <v>18</v>
      </c>
      <c r="B49" s="5">
        <v>44450</v>
      </c>
      <c r="C49" s="4" t="str">
        <f>"004163003625"</f>
        <v>004163003625</v>
      </c>
      <c r="D49" s="4" t="str">
        <f>"5768538927"</f>
        <v>5768538927</v>
      </c>
      <c r="E49" s="5">
        <v>44480</v>
      </c>
      <c r="F49" s="4">
        <v>1601</v>
      </c>
      <c r="G49" s="4">
        <v>5745</v>
      </c>
      <c r="H49" s="4" t="s">
        <v>27</v>
      </c>
      <c r="I49" s="4" t="str">
        <f t="shared" si="1"/>
        <v>06655971007</v>
      </c>
      <c r="J49" s="4" t="s">
        <v>28</v>
      </c>
      <c r="K49" s="4" t="s">
        <v>38</v>
      </c>
      <c r="L49" s="4">
        <v>-0.02</v>
      </c>
      <c r="M49" s="4">
        <v>-0.02</v>
      </c>
      <c r="N49" s="5">
        <v>44487</v>
      </c>
      <c r="O49" s="4"/>
      <c r="P49" s="4" t="s">
        <v>22</v>
      </c>
    </row>
    <row r="50" spans="1:16" x14ac:dyDescent="0.25">
      <c r="A50" s="4" t="s">
        <v>18</v>
      </c>
      <c r="B50" s="5">
        <v>44450</v>
      </c>
      <c r="C50" s="4" t="str">
        <f>"004163003626"</f>
        <v>004163003626</v>
      </c>
      <c r="D50" s="4" t="str">
        <f>"5768526794"</f>
        <v>5768526794</v>
      </c>
      <c r="E50" s="5">
        <v>44480</v>
      </c>
      <c r="F50" s="4">
        <v>1625</v>
      </c>
      <c r="G50" s="4">
        <v>5745</v>
      </c>
      <c r="H50" s="4" t="s">
        <v>27</v>
      </c>
      <c r="I50" s="4" t="str">
        <f t="shared" si="1"/>
        <v>06655971007</v>
      </c>
      <c r="J50" s="4" t="s">
        <v>28</v>
      </c>
      <c r="K50" s="4" t="s">
        <v>38</v>
      </c>
      <c r="L50" s="4">
        <v>-0.21</v>
      </c>
      <c r="M50" s="4">
        <v>-0.17</v>
      </c>
      <c r="N50" s="5">
        <v>44487</v>
      </c>
      <c r="O50" s="4"/>
      <c r="P50" s="4" t="s">
        <v>22</v>
      </c>
    </row>
    <row r="51" spans="1:16" x14ac:dyDescent="0.25">
      <c r="A51" s="4" t="s">
        <v>18</v>
      </c>
      <c r="B51" s="5">
        <v>44450</v>
      </c>
      <c r="C51" s="4" t="str">
        <f>"004163003627"</f>
        <v>004163003627</v>
      </c>
      <c r="D51" s="4" t="str">
        <f>"5769601560"</f>
        <v>5769601560</v>
      </c>
      <c r="E51" s="5">
        <v>44480</v>
      </c>
      <c r="F51" s="4">
        <v>1592</v>
      </c>
      <c r="G51" s="4">
        <v>5745</v>
      </c>
      <c r="H51" s="4" t="s">
        <v>27</v>
      </c>
      <c r="I51" s="4" t="str">
        <f t="shared" si="1"/>
        <v>06655971007</v>
      </c>
      <c r="J51" s="4" t="s">
        <v>28</v>
      </c>
      <c r="K51" s="4" t="s">
        <v>38</v>
      </c>
      <c r="L51" s="4">
        <v>-0.96</v>
      </c>
      <c r="M51" s="4">
        <v>-0.79</v>
      </c>
      <c r="N51" s="5">
        <v>44487</v>
      </c>
      <c r="O51" s="4"/>
      <c r="P51" s="4" t="s">
        <v>22</v>
      </c>
    </row>
    <row r="52" spans="1:16" x14ac:dyDescent="0.25">
      <c r="A52" s="4" t="s">
        <v>18</v>
      </c>
      <c r="B52" s="5">
        <v>44450</v>
      </c>
      <c r="C52" s="4" t="str">
        <f>"004163003628"</f>
        <v>004163003628</v>
      </c>
      <c r="D52" s="4" t="str">
        <f>"5769597013"</f>
        <v>5769597013</v>
      </c>
      <c r="E52" s="5">
        <v>44480</v>
      </c>
      <c r="F52" s="4">
        <v>1584</v>
      </c>
      <c r="G52" s="4">
        <v>5745</v>
      </c>
      <c r="H52" s="4" t="s">
        <v>27</v>
      </c>
      <c r="I52" s="4" t="str">
        <f t="shared" si="1"/>
        <v>06655971007</v>
      </c>
      <c r="J52" s="4" t="s">
        <v>28</v>
      </c>
      <c r="K52" s="4" t="s">
        <v>38</v>
      </c>
      <c r="L52" s="4">
        <v>-1.27</v>
      </c>
      <c r="M52" s="4">
        <v>-1.04</v>
      </c>
      <c r="N52" s="5">
        <v>44487</v>
      </c>
      <c r="O52" s="4"/>
      <c r="P52" s="4" t="s">
        <v>22</v>
      </c>
    </row>
    <row r="53" spans="1:16" x14ac:dyDescent="0.25">
      <c r="A53" s="4" t="s">
        <v>18</v>
      </c>
      <c r="B53" s="5">
        <v>44450</v>
      </c>
      <c r="C53" s="4" t="str">
        <f>"004163003629"</f>
        <v>004163003629</v>
      </c>
      <c r="D53" s="4" t="str">
        <f>"5768531980"</f>
        <v>5768531980</v>
      </c>
      <c r="E53" s="5">
        <v>44480</v>
      </c>
      <c r="F53" s="4">
        <v>1621</v>
      </c>
      <c r="G53" s="4">
        <v>5745</v>
      </c>
      <c r="H53" s="4" t="s">
        <v>27</v>
      </c>
      <c r="I53" s="4" t="str">
        <f t="shared" si="1"/>
        <v>06655971007</v>
      </c>
      <c r="J53" s="4" t="s">
        <v>28</v>
      </c>
      <c r="K53" s="4" t="s">
        <v>38</v>
      </c>
      <c r="L53" s="4">
        <v>-0.02</v>
      </c>
      <c r="M53" s="4">
        <v>-0.02</v>
      </c>
      <c r="N53" s="5">
        <v>44487</v>
      </c>
      <c r="O53" s="4"/>
      <c r="P53" s="4" t="s">
        <v>22</v>
      </c>
    </row>
    <row r="54" spans="1:16" x14ac:dyDescent="0.25">
      <c r="A54" s="4" t="s">
        <v>18</v>
      </c>
      <c r="B54" s="5">
        <v>44450</v>
      </c>
      <c r="C54" s="4" t="str">
        <f>"004163003630"</f>
        <v>004163003630</v>
      </c>
      <c r="D54" s="4" t="str">
        <f>"5769605277"</f>
        <v>5769605277</v>
      </c>
      <c r="E54" s="5">
        <v>44480</v>
      </c>
      <c r="F54" s="4">
        <v>1594</v>
      </c>
      <c r="G54" s="4">
        <v>5745</v>
      </c>
      <c r="H54" s="4" t="s">
        <v>27</v>
      </c>
      <c r="I54" s="4" t="str">
        <f t="shared" si="1"/>
        <v>06655971007</v>
      </c>
      <c r="J54" s="4" t="s">
        <v>28</v>
      </c>
      <c r="K54" s="4" t="s">
        <v>38</v>
      </c>
      <c r="L54" s="4">
        <v>-3.95</v>
      </c>
      <c r="M54" s="4">
        <v>-3.24</v>
      </c>
      <c r="N54" s="5">
        <v>44487</v>
      </c>
      <c r="O54" s="4"/>
      <c r="P54" s="4" t="s">
        <v>22</v>
      </c>
    </row>
    <row r="55" spans="1:16" x14ac:dyDescent="0.25">
      <c r="A55" s="4" t="s">
        <v>18</v>
      </c>
      <c r="B55" s="5">
        <v>44450</v>
      </c>
      <c r="C55" s="4" t="str">
        <f>"004163003631"</f>
        <v>004163003631</v>
      </c>
      <c r="D55" s="4" t="str">
        <f>"5769597130"</f>
        <v>5769597130</v>
      </c>
      <c r="E55" s="5">
        <v>44480</v>
      </c>
      <c r="F55" s="4">
        <v>1591</v>
      </c>
      <c r="G55" s="4">
        <v>5745</v>
      </c>
      <c r="H55" s="4" t="s">
        <v>27</v>
      </c>
      <c r="I55" s="4" t="str">
        <f t="shared" si="1"/>
        <v>06655971007</v>
      </c>
      <c r="J55" s="4" t="s">
        <v>28</v>
      </c>
      <c r="K55" s="4" t="s">
        <v>38</v>
      </c>
      <c r="L55" s="4">
        <v>-0.12</v>
      </c>
      <c r="M55" s="4">
        <v>-0.1</v>
      </c>
      <c r="N55" s="5">
        <v>44487</v>
      </c>
      <c r="O55" s="4"/>
      <c r="P55" s="4" t="s">
        <v>22</v>
      </c>
    </row>
    <row r="56" spans="1:16" x14ac:dyDescent="0.25">
      <c r="A56" s="4" t="s">
        <v>18</v>
      </c>
      <c r="B56" s="5">
        <v>44450</v>
      </c>
      <c r="C56" s="4" t="str">
        <f>"004163003632"</f>
        <v>004163003632</v>
      </c>
      <c r="D56" s="4" t="str">
        <f>"5769601372"</f>
        <v>5769601372</v>
      </c>
      <c r="E56" s="5">
        <v>44480</v>
      </c>
      <c r="F56" s="4">
        <v>1600</v>
      </c>
      <c r="G56" s="4">
        <v>5745</v>
      </c>
      <c r="H56" s="4" t="s">
        <v>27</v>
      </c>
      <c r="I56" s="4" t="str">
        <f t="shared" si="1"/>
        <v>06655971007</v>
      </c>
      <c r="J56" s="4" t="s">
        <v>28</v>
      </c>
      <c r="K56" s="4" t="s">
        <v>38</v>
      </c>
      <c r="L56" s="4">
        <v>-2.37</v>
      </c>
      <c r="M56" s="4">
        <v>-1.94</v>
      </c>
      <c r="N56" s="5">
        <v>44487</v>
      </c>
      <c r="O56" s="4"/>
      <c r="P56" s="4" t="s">
        <v>22</v>
      </c>
    </row>
    <row r="57" spans="1:16" x14ac:dyDescent="0.25">
      <c r="A57" s="4" t="s">
        <v>18</v>
      </c>
      <c r="B57" s="5">
        <v>44450</v>
      </c>
      <c r="C57" s="4" t="str">
        <f>"004163003633"</f>
        <v>004163003633</v>
      </c>
      <c r="D57" s="4" t="str">
        <f>"5769596999"</f>
        <v>5769596999</v>
      </c>
      <c r="E57" s="5">
        <v>44480</v>
      </c>
      <c r="F57" s="4">
        <v>1580</v>
      </c>
      <c r="G57" s="4">
        <v>5745</v>
      </c>
      <c r="H57" s="4" t="s">
        <v>27</v>
      </c>
      <c r="I57" s="4" t="str">
        <f t="shared" si="1"/>
        <v>06655971007</v>
      </c>
      <c r="J57" s="4" t="s">
        <v>28</v>
      </c>
      <c r="K57" s="4" t="s">
        <v>38</v>
      </c>
      <c r="L57" s="4">
        <v>-0.11</v>
      </c>
      <c r="M57" s="4">
        <v>-0.09</v>
      </c>
      <c r="N57" s="5">
        <v>44487</v>
      </c>
      <c r="O57" s="4"/>
      <c r="P57" s="4" t="s">
        <v>22</v>
      </c>
    </row>
    <row r="58" spans="1:16" x14ac:dyDescent="0.25">
      <c r="A58" s="4" t="s">
        <v>18</v>
      </c>
      <c r="B58" s="5">
        <v>44450</v>
      </c>
      <c r="C58" s="4" t="str">
        <f>"004163003634"</f>
        <v>004163003634</v>
      </c>
      <c r="D58" s="4" t="str">
        <f>"5769587691"</f>
        <v>5769587691</v>
      </c>
      <c r="E58" s="5">
        <v>44480</v>
      </c>
      <c r="F58" s="4">
        <v>1575</v>
      </c>
      <c r="G58" s="4">
        <v>5745</v>
      </c>
      <c r="H58" s="4" t="s">
        <v>27</v>
      </c>
      <c r="I58" s="4" t="str">
        <f t="shared" si="1"/>
        <v>06655971007</v>
      </c>
      <c r="J58" s="4" t="s">
        <v>28</v>
      </c>
      <c r="K58" s="4" t="s">
        <v>38</v>
      </c>
      <c r="L58" s="4">
        <v>-1.39</v>
      </c>
      <c r="M58" s="4">
        <v>-1.1399999999999999</v>
      </c>
      <c r="N58" s="5">
        <v>44487</v>
      </c>
      <c r="O58" s="4"/>
      <c r="P58" s="4" t="s">
        <v>22</v>
      </c>
    </row>
    <row r="59" spans="1:16" x14ac:dyDescent="0.25">
      <c r="A59" s="4" t="s">
        <v>18</v>
      </c>
      <c r="B59" s="5">
        <v>44450</v>
      </c>
      <c r="C59" s="4" t="str">
        <f>"004163003635"</f>
        <v>004163003635</v>
      </c>
      <c r="D59" s="4" t="str">
        <f>"5769606712"</f>
        <v>5769606712</v>
      </c>
      <c r="E59" s="5">
        <v>44480</v>
      </c>
      <c r="F59" s="4">
        <v>1599</v>
      </c>
      <c r="G59" s="4">
        <v>5745</v>
      </c>
      <c r="H59" s="4" t="s">
        <v>27</v>
      </c>
      <c r="I59" s="4" t="str">
        <f t="shared" si="1"/>
        <v>06655971007</v>
      </c>
      <c r="J59" s="4" t="s">
        <v>28</v>
      </c>
      <c r="K59" s="4" t="s">
        <v>38</v>
      </c>
      <c r="L59" s="4">
        <v>-0.01</v>
      </c>
      <c r="M59" s="4">
        <v>-0.01</v>
      </c>
      <c r="N59" s="5">
        <v>44487</v>
      </c>
      <c r="O59" s="4"/>
      <c r="P59" s="4" t="s">
        <v>22</v>
      </c>
    </row>
    <row r="60" spans="1:16" x14ac:dyDescent="0.25">
      <c r="A60" s="4" t="s">
        <v>18</v>
      </c>
      <c r="B60" s="5">
        <v>44450</v>
      </c>
      <c r="C60" s="4" t="str">
        <f>"004163003636"</f>
        <v>004163003636</v>
      </c>
      <c r="D60" s="4" t="str">
        <f>"5768522365"</f>
        <v>5768522365</v>
      </c>
      <c r="E60" s="5">
        <v>44480</v>
      </c>
      <c r="F60" s="4">
        <v>1620</v>
      </c>
      <c r="G60" s="4">
        <v>5745</v>
      </c>
      <c r="H60" s="4" t="s">
        <v>27</v>
      </c>
      <c r="I60" s="4" t="str">
        <f t="shared" si="1"/>
        <v>06655971007</v>
      </c>
      <c r="J60" s="4" t="s">
        <v>28</v>
      </c>
      <c r="K60" s="4" t="s">
        <v>38</v>
      </c>
      <c r="L60" s="4">
        <v>-1.62</v>
      </c>
      <c r="M60" s="4">
        <v>-1.33</v>
      </c>
      <c r="N60" s="5">
        <v>44487</v>
      </c>
      <c r="O60" s="4"/>
      <c r="P60" s="4" t="s">
        <v>22</v>
      </c>
    </row>
    <row r="61" spans="1:16" x14ac:dyDescent="0.25">
      <c r="A61" s="4" t="s">
        <v>18</v>
      </c>
      <c r="B61" s="5">
        <v>44450</v>
      </c>
      <c r="C61" s="4" t="str">
        <f>"004163003637"</f>
        <v>004163003637</v>
      </c>
      <c r="D61" s="4" t="str">
        <f>"5769601101"</f>
        <v>5769601101</v>
      </c>
      <c r="E61" s="5">
        <v>44480</v>
      </c>
      <c r="F61" s="4">
        <v>1586</v>
      </c>
      <c r="G61" s="4">
        <v>5745</v>
      </c>
      <c r="H61" s="4" t="s">
        <v>27</v>
      </c>
      <c r="I61" s="4" t="str">
        <f t="shared" si="1"/>
        <v>06655971007</v>
      </c>
      <c r="J61" s="4" t="s">
        <v>28</v>
      </c>
      <c r="K61" s="4" t="s">
        <v>38</v>
      </c>
      <c r="L61" s="4">
        <v>-0.04</v>
      </c>
      <c r="M61" s="4">
        <v>-0.03</v>
      </c>
      <c r="N61" s="5">
        <v>44487</v>
      </c>
      <c r="O61" s="4"/>
      <c r="P61" s="4" t="s">
        <v>22</v>
      </c>
    </row>
    <row r="62" spans="1:16" x14ac:dyDescent="0.25">
      <c r="A62" s="4" t="s">
        <v>18</v>
      </c>
      <c r="B62" s="5">
        <v>44450</v>
      </c>
      <c r="C62" s="4" t="str">
        <f>"004163003638"</f>
        <v>004163003638</v>
      </c>
      <c r="D62" s="4" t="str">
        <f>"5769604294"</f>
        <v>5769604294</v>
      </c>
      <c r="E62" s="5">
        <v>44480</v>
      </c>
      <c r="F62" s="4">
        <v>1597</v>
      </c>
      <c r="G62" s="4">
        <v>5745</v>
      </c>
      <c r="H62" s="4" t="s">
        <v>27</v>
      </c>
      <c r="I62" s="4" t="str">
        <f t="shared" si="1"/>
        <v>06655971007</v>
      </c>
      <c r="J62" s="4" t="s">
        <v>28</v>
      </c>
      <c r="K62" s="4" t="s">
        <v>38</v>
      </c>
      <c r="L62" s="4">
        <v>-0.04</v>
      </c>
      <c r="M62" s="4">
        <v>-0.03</v>
      </c>
      <c r="N62" s="5">
        <v>44487</v>
      </c>
      <c r="O62" s="4"/>
      <c r="P62" s="4" t="s">
        <v>22</v>
      </c>
    </row>
    <row r="63" spans="1:16" x14ac:dyDescent="0.25">
      <c r="A63" s="4" t="s">
        <v>18</v>
      </c>
      <c r="B63" s="5">
        <v>44450</v>
      </c>
      <c r="C63" s="4" t="str">
        <f>"004163003639"</f>
        <v>004163003639</v>
      </c>
      <c r="D63" s="4" t="str">
        <f>"5769595169"</f>
        <v>5769595169</v>
      </c>
      <c r="E63" s="5">
        <v>44480</v>
      </c>
      <c r="F63" s="4">
        <v>1574</v>
      </c>
      <c r="G63" s="4">
        <v>5745</v>
      </c>
      <c r="H63" s="4" t="s">
        <v>27</v>
      </c>
      <c r="I63" s="4" t="str">
        <f t="shared" si="1"/>
        <v>06655971007</v>
      </c>
      <c r="J63" s="4" t="s">
        <v>28</v>
      </c>
      <c r="K63" s="4" t="s">
        <v>38</v>
      </c>
      <c r="L63" s="4">
        <v>-1.31</v>
      </c>
      <c r="M63" s="4">
        <v>-1.07</v>
      </c>
      <c r="N63" s="5">
        <v>44487</v>
      </c>
      <c r="O63" s="4"/>
      <c r="P63" s="4" t="s">
        <v>22</v>
      </c>
    </row>
    <row r="64" spans="1:16" x14ac:dyDescent="0.25">
      <c r="A64" s="4" t="s">
        <v>18</v>
      </c>
      <c r="B64" s="5">
        <v>44450</v>
      </c>
      <c r="C64" s="4" t="str">
        <f>"004163003640"</f>
        <v>004163003640</v>
      </c>
      <c r="D64" s="4" t="str">
        <f>"5769584001"</f>
        <v>5769584001</v>
      </c>
      <c r="E64" s="5">
        <v>44480</v>
      </c>
      <c r="F64" s="4">
        <v>1572</v>
      </c>
      <c r="G64" s="4">
        <v>5745</v>
      </c>
      <c r="H64" s="4" t="s">
        <v>27</v>
      </c>
      <c r="I64" s="4" t="str">
        <f t="shared" si="1"/>
        <v>06655971007</v>
      </c>
      <c r="J64" s="4" t="s">
        <v>28</v>
      </c>
      <c r="K64" s="4" t="s">
        <v>38</v>
      </c>
      <c r="L64" s="4">
        <v>-0.28000000000000003</v>
      </c>
      <c r="M64" s="4">
        <v>-0.23</v>
      </c>
      <c r="N64" s="5">
        <v>44487</v>
      </c>
      <c r="O64" s="4"/>
      <c r="P64" s="4" t="s">
        <v>22</v>
      </c>
    </row>
    <row r="65" spans="1:16" x14ac:dyDescent="0.25">
      <c r="A65" s="4" t="s">
        <v>18</v>
      </c>
      <c r="B65" s="5">
        <v>44450</v>
      </c>
      <c r="C65" s="4" t="str">
        <f>"004163003641"</f>
        <v>004163003641</v>
      </c>
      <c r="D65" s="4" t="str">
        <f>"5768495389"</f>
        <v>5768495389</v>
      </c>
      <c r="E65" s="5">
        <v>44480</v>
      </c>
      <c r="F65" s="4">
        <v>1610</v>
      </c>
      <c r="G65" s="4">
        <v>5745</v>
      </c>
      <c r="H65" s="4" t="s">
        <v>27</v>
      </c>
      <c r="I65" s="4" t="str">
        <f t="shared" si="1"/>
        <v>06655971007</v>
      </c>
      <c r="J65" s="4" t="s">
        <v>28</v>
      </c>
      <c r="K65" s="4" t="s">
        <v>38</v>
      </c>
      <c r="L65" s="4">
        <v>-7.0000000000000007E-2</v>
      </c>
      <c r="M65" s="4">
        <v>-0.06</v>
      </c>
      <c r="N65" s="5">
        <v>44487</v>
      </c>
      <c r="O65" s="4"/>
      <c r="P65" s="4" t="s">
        <v>22</v>
      </c>
    </row>
    <row r="66" spans="1:16" x14ac:dyDescent="0.25">
      <c r="A66" s="4" t="s">
        <v>18</v>
      </c>
      <c r="B66" s="5">
        <v>44450</v>
      </c>
      <c r="C66" s="4" t="str">
        <f>"004163003642"</f>
        <v>004163003642</v>
      </c>
      <c r="D66" s="4" t="str">
        <f>"5769598234"</f>
        <v>5769598234</v>
      </c>
      <c r="E66" s="5">
        <v>44480</v>
      </c>
      <c r="F66" s="4">
        <v>1579</v>
      </c>
      <c r="G66" s="4">
        <v>5745</v>
      </c>
      <c r="H66" s="4" t="s">
        <v>27</v>
      </c>
      <c r="I66" s="4" t="str">
        <f t="shared" si="1"/>
        <v>06655971007</v>
      </c>
      <c r="J66" s="4" t="s">
        <v>28</v>
      </c>
      <c r="K66" s="4" t="s">
        <v>38</v>
      </c>
      <c r="L66" s="4">
        <v>-22.13</v>
      </c>
      <c r="M66" s="4">
        <v>-18.14</v>
      </c>
      <c r="N66" s="5">
        <v>44487</v>
      </c>
      <c r="O66" s="4"/>
      <c r="P66" s="4" t="s">
        <v>22</v>
      </c>
    </row>
    <row r="67" spans="1:16" x14ac:dyDescent="0.25">
      <c r="A67" s="4" t="s">
        <v>18</v>
      </c>
      <c r="B67" s="5">
        <v>44450</v>
      </c>
      <c r="C67" s="4" t="str">
        <f>"004163003643"</f>
        <v>004163003643</v>
      </c>
      <c r="D67" s="4" t="str">
        <f>"5768512395"</f>
        <v>5768512395</v>
      </c>
      <c r="E67" s="5">
        <v>44480</v>
      </c>
      <c r="F67" s="4">
        <v>1613</v>
      </c>
      <c r="G67" s="4">
        <v>5745</v>
      </c>
      <c r="H67" s="4" t="s">
        <v>27</v>
      </c>
      <c r="I67" s="4" t="str">
        <f t="shared" si="1"/>
        <v>06655971007</v>
      </c>
      <c r="J67" s="4" t="s">
        <v>28</v>
      </c>
      <c r="K67" s="4" t="s">
        <v>38</v>
      </c>
      <c r="L67" s="4">
        <v>-0.16</v>
      </c>
      <c r="M67" s="4">
        <v>-0.13</v>
      </c>
      <c r="N67" s="5">
        <v>44487</v>
      </c>
      <c r="O67" s="4"/>
      <c r="P67" s="4" t="s">
        <v>22</v>
      </c>
    </row>
    <row r="68" spans="1:16" x14ac:dyDescent="0.25">
      <c r="A68" s="4" t="s">
        <v>18</v>
      </c>
      <c r="B68" s="5">
        <v>44450</v>
      </c>
      <c r="C68" s="4" t="str">
        <f>"004163003644"</f>
        <v>004163003644</v>
      </c>
      <c r="D68" s="4" t="str">
        <f>"5769593373"</f>
        <v>5769593373</v>
      </c>
      <c r="E68" s="5">
        <v>44480</v>
      </c>
      <c r="F68" s="4">
        <v>1589</v>
      </c>
      <c r="G68" s="4">
        <v>5745</v>
      </c>
      <c r="H68" s="4" t="s">
        <v>27</v>
      </c>
      <c r="I68" s="4" t="str">
        <f t="shared" si="1"/>
        <v>06655971007</v>
      </c>
      <c r="J68" s="4" t="s">
        <v>28</v>
      </c>
      <c r="K68" s="4" t="s">
        <v>38</v>
      </c>
      <c r="L68" s="4">
        <v>-0.02</v>
      </c>
      <c r="M68" s="4">
        <v>-0.02</v>
      </c>
      <c r="N68" s="5">
        <v>44487</v>
      </c>
      <c r="O68" s="4"/>
      <c r="P68" s="4" t="s">
        <v>22</v>
      </c>
    </row>
    <row r="69" spans="1:16" x14ac:dyDescent="0.25">
      <c r="A69" s="4" t="s">
        <v>18</v>
      </c>
      <c r="B69" s="5">
        <v>44450</v>
      </c>
      <c r="C69" s="4" t="str">
        <f>"004163003645"</f>
        <v>004163003645</v>
      </c>
      <c r="D69" s="4" t="str">
        <f>"5769598032"</f>
        <v>5769598032</v>
      </c>
      <c r="E69" s="5">
        <v>44480</v>
      </c>
      <c r="F69" s="4">
        <v>1585</v>
      </c>
      <c r="G69" s="4">
        <v>5745</v>
      </c>
      <c r="H69" s="4" t="s">
        <v>27</v>
      </c>
      <c r="I69" s="4" t="str">
        <f t="shared" si="1"/>
        <v>06655971007</v>
      </c>
      <c r="J69" s="4" t="s">
        <v>28</v>
      </c>
      <c r="K69" s="4" t="s">
        <v>38</v>
      </c>
      <c r="L69" s="4">
        <v>-0.04</v>
      </c>
      <c r="M69" s="4">
        <v>-0.03</v>
      </c>
      <c r="N69" s="5">
        <v>44487</v>
      </c>
      <c r="O69" s="4"/>
      <c r="P69" s="4" t="s">
        <v>22</v>
      </c>
    </row>
    <row r="70" spans="1:16" x14ac:dyDescent="0.25">
      <c r="A70" s="4" t="s">
        <v>18</v>
      </c>
      <c r="B70" s="5">
        <v>44450</v>
      </c>
      <c r="C70" s="4" t="str">
        <f>"004163003646"</f>
        <v>004163003646</v>
      </c>
      <c r="D70" s="4" t="str">
        <f>"5769604209"</f>
        <v>5769604209</v>
      </c>
      <c r="E70" s="5">
        <v>44480</v>
      </c>
      <c r="F70" s="4">
        <v>1582</v>
      </c>
      <c r="G70" s="4">
        <v>5745</v>
      </c>
      <c r="H70" s="4" t="s">
        <v>27</v>
      </c>
      <c r="I70" s="4" t="str">
        <f t="shared" si="1"/>
        <v>06655971007</v>
      </c>
      <c r="J70" s="4" t="s">
        <v>28</v>
      </c>
      <c r="K70" s="4" t="s">
        <v>38</v>
      </c>
      <c r="L70" s="4">
        <v>-0.2</v>
      </c>
      <c r="M70" s="4">
        <v>-0.16</v>
      </c>
      <c r="N70" s="5">
        <v>44487</v>
      </c>
      <c r="O70" s="4"/>
      <c r="P70" s="4" t="s">
        <v>22</v>
      </c>
    </row>
    <row r="71" spans="1:16" x14ac:dyDescent="0.25">
      <c r="A71" s="4" t="s">
        <v>18</v>
      </c>
      <c r="B71" s="5">
        <v>44450</v>
      </c>
      <c r="C71" s="4" t="str">
        <f>"004163003647"</f>
        <v>004163003647</v>
      </c>
      <c r="D71" s="4" t="str">
        <f>"5769599422"</f>
        <v>5769599422</v>
      </c>
      <c r="E71" s="5">
        <v>44480</v>
      </c>
      <c r="F71" s="4">
        <v>1583</v>
      </c>
      <c r="G71" s="4">
        <v>5745</v>
      </c>
      <c r="H71" s="4" t="s">
        <v>27</v>
      </c>
      <c r="I71" s="4" t="str">
        <f t="shared" si="1"/>
        <v>06655971007</v>
      </c>
      <c r="J71" s="4" t="s">
        <v>28</v>
      </c>
      <c r="K71" s="4" t="s">
        <v>38</v>
      </c>
      <c r="L71" s="4">
        <v>-0.01</v>
      </c>
      <c r="M71" s="4">
        <v>-0.01</v>
      </c>
      <c r="N71" s="5">
        <v>44487</v>
      </c>
      <c r="O71" s="4"/>
      <c r="P71" s="4" t="s">
        <v>22</v>
      </c>
    </row>
    <row r="72" spans="1:16" x14ac:dyDescent="0.25">
      <c r="A72" s="4" t="s">
        <v>18</v>
      </c>
      <c r="B72" s="5">
        <v>44450</v>
      </c>
      <c r="C72" s="4" t="str">
        <f>"004163003648"</f>
        <v>004163003648</v>
      </c>
      <c r="D72" s="4" t="str">
        <f>"5769597844"</f>
        <v>5769597844</v>
      </c>
      <c r="E72" s="5">
        <v>44480</v>
      </c>
      <c r="F72" s="4">
        <v>1596</v>
      </c>
      <c r="G72" s="4">
        <v>5745</v>
      </c>
      <c r="H72" s="4" t="s">
        <v>27</v>
      </c>
      <c r="I72" s="4" t="str">
        <f t="shared" si="1"/>
        <v>06655971007</v>
      </c>
      <c r="J72" s="4" t="s">
        <v>28</v>
      </c>
      <c r="K72" s="4" t="s">
        <v>38</v>
      </c>
      <c r="L72" s="4">
        <v>-1.61</v>
      </c>
      <c r="M72" s="4">
        <v>-1.32</v>
      </c>
      <c r="N72" s="5">
        <v>44487</v>
      </c>
      <c r="O72" s="4"/>
      <c r="P72" s="4" t="s">
        <v>22</v>
      </c>
    </row>
    <row r="73" spans="1:16" x14ac:dyDescent="0.25">
      <c r="A73" s="4" t="s">
        <v>18</v>
      </c>
      <c r="B73" s="5">
        <v>44450</v>
      </c>
      <c r="C73" s="4" t="str">
        <f>"004163003649"</f>
        <v>004163003649</v>
      </c>
      <c r="D73" s="4" t="str">
        <f>"5768509210"</f>
        <v>5768509210</v>
      </c>
      <c r="E73" s="5">
        <v>44480</v>
      </c>
      <c r="F73" s="4">
        <v>1627</v>
      </c>
      <c r="G73" s="4">
        <v>5745</v>
      </c>
      <c r="H73" s="4" t="s">
        <v>27</v>
      </c>
      <c r="I73" s="4" t="str">
        <f t="shared" si="1"/>
        <v>06655971007</v>
      </c>
      <c r="J73" s="4" t="s">
        <v>28</v>
      </c>
      <c r="K73" s="4" t="s">
        <v>38</v>
      </c>
      <c r="L73" s="4">
        <v>-0.16</v>
      </c>
      <c r="M73" s="4">
        <v>-0.13</v>
      </c>
      <c r="N73" s="5">
        <v>44487</v>
      </c>
      <c r="O73" s="4"/>
      <c r="P73" s="4" t="s">
        <v>22</v>
      </c>
    </row>
    <row r="74" spans="1:16" x14ac:dyDescent="0.25">
      <c r="A74" s="4" t="s">
        <v>18</v>
      </c>
      <c r="B74" s="5">
        <v>44450</v>
      </c>
      <c r="C74" s="4" t="str">
        <f>"004163003650"</f>
        <v>004163003650</v>
      </c>
      <c r="D74" s="4" t="str">
        <f>"5768515636"</f>
        <v>5768515636</v>
      </c>
      <c r="E74" s="5">
        <v>44480</v>
      </c>
      <c r="F74" s="4">
        <v>1609</v>
      </c>
      <c r="G74" s="4">
        <v>5745</v>
      </c>
      <c r="H74" s="4" t="s">
        <v>27</v>
      </c>
      <c r="I74" s="4" t="str">
        <f t="shared" si="1"/>
        <v>06655971007</v>
      </c>
      <c r="J74" s="4" t="s">
        <v>28</v>
      </c>
      <c r="K74" s="4" t="s">
        <v>38</v>
      </c>
      <c r="L74" s="4">
        <v>-0.38</v>
      </c>
      <c r="M74" s="4">
        <v>-0.31</v>
      </c>
      <c r="N74" s="5">
        <v>44487</v>
      </c>
      <c r="O74" s="4"/>
      <c r="P74" s="4" t="s">
        <v>22</v>
      </c>
    </row>
    <row r="75" spans="1:16" x14ac:dyDescent="0.25">
      <c r="A75" s="4" t="s">
        <v>18</v>
      </c>
      <c r="B75" s="5">
        <v>44450</v>
      </c>
      <c r="C75" s="4" t="str">
        <f>"004163003651"</f>
        <v>004163003651</v>
      </c>
      <c r="D75" s="4" t="str">
        <f>"5768512674"</f>
        <v>5768512674</v>
      </c>
      <c r="E75" s="5">
        <v>44480</v>
      </c>
      <c r="F75" s="4">
        <v>1619</v>
      </c>
      <c r="G75" s="4">
        <v>5745</v>
      </c>
      <c r="H75" s="4" t="s">
        <v>27</v>
      </c>
      <c r="I75" s="4" t="str">
        <f t="shared" si="1"/>
        <v>06655971007</v>
      </c>
      <c r="J75" s="4" t="s">
        <v>28</v>
      </c>
      <c r="K75" s="4" t="s">
        <v>38</v>
      </c>
      <c r="L75" s="4">
        <v>-0.12</v>
      </c>
      <c r="M75" s="4">
        <v>-0.1</v>
      </c>
      <c r="N75" s="5">
        <v>44487</v>
      </c>
      <c r="O75" s="4"/>
      <c r="P75" s="4" t="s">
        <v>22</v>
      </c>
    </row>
    <row r="76" spans="1:16" x14ac:dyDescent="0.25">
      <c r="A76" s="4" t="s">
        <v>18</v>
      </c>
      <c r="B76" s="5">
        <v>44450</v>
      </c>
      <c r="C76" s="4" t="str">
        <f>"004163003652"</f>
        <v>004163003652</v>
      </c>
      <c r="D76" s="4" t="str">
        <f>"5769603316"</f>
        <v>5769603316</v>
      </c>
      <c r="E76" s="5">
        <v>44480</v>
      </c>
      <c r="F76" s="4">
        <v>1598</v>
      </c>
      <c r="G76" s="4">
        <v>5745</v>
      </c>
      <c r="H76" s="4" t="s">
        <v>27</v>
      </c>
      <c r="I76" s="4" t="str">
        <f t="shared" si="1"/>
        <v>06655971007</v>
      </c>
      <c r="J76" s="4" t="s">
        <v>28</v>
      </c>
      <c r="K76" s="4" t="s">
        <v>38</v>
      </c>
      <c r="L76" s="4">
        <v>-0.55000000000000004</v>
      </c>
      <c r="M76" s="4">
        <v>-0.45</v>
      </c>
      <c r="N76" s="5">
        <v>44487</v>
      </c>
      <c r="O76" s="4"/>
      <c r="P76" s="4" t="s">
        <v>22</v>
      </c>
    </row>
    <row r="77" spans="1:16" x14ac:dyDescent="0.25">
      <c r="A77" s="4" t="s">
        <v>18</v>
      </c>
      <c r="B77" s="5">
        <v>44450</v>
      </c>
      <c r="C77" s="4" t="str">
        <f>"004163003653"</f>
        <v>004163003653</v>
      </c>
      <c r="D77" s="4" t="str">
        <f>"5769603490"</f>
        <v>5769603490</v>
      </c>
      <c r="E77" s="5">
        <v>44480</v>
      </c>
      <c r="F77" s="4">
        <v>1587</v>
      </c>
      <c r="G77" s="4">
        <v>5745</v>
      </c>
      <c r="H77" s="4" t="s">
        <v>27</v>
      </c>
      <c r="I77" s="4" t="str">
        <f t="shared" si="1"/>
        <v>06655971007</v>
      </c>
      <c r="J77" s="4" t="s">
        <v>28</v>
      </c>
      <c r="K77" s="4" t="s">
        <v>38</v>
      </c>
      <c r="L77" s="4">
        <v>-4.75</v>
      </c>
      <c r="M77" s="4">
        <v>-3.89</v>
      </c>
      <c r="N77" s="5">
        <v>44487</v>
      </c>
      <c r="O77" s="4"/>
      <c r="P77" s="4" t="s">
        <v>22</v>
      </c>
    </row>
    <row r="78" spans="1:16" x14ac:dyDescent="0.25">
      <c r="A78" s="4" t="s">
        <v>18</v>
      </c>
      <c r="B78" s="5">
        <v>44450</v>
      </c>
      <c r="C78" s="4" t="str">
        <f>"004163003654"</f>
        <v>004163003654</v>
      </c>
      <c r="D78" s="4" t="str">
        <f>"5768540052"</f>
        <v>5768540052</v>
      </c>
      <c r="E78" s="5">
        <v>44480</v>
      </c>
      <c r="F78" s="4">
        <v>1602</v>
      </c>
      <c r="G78" s="4">
        <v>5745</v>
      </c>
      <c r="H78" s="4" t="s">
        <v>27</v>
      </c>
      <c r="I78" s="4" t="str">
        <f t="shared" si="1"/>
        <v>06655971007</v>
      </c>
      <c r="J78" s="4" t="s">
        <v>28</v>
      </c>
      <c r="K78" s="4" t="s">
        <v>38</v>
      </c>
      <c r="L78" s="4">
        <v>-45.14</v>
      </c>
      <c r="M78" s="4">
        <v>-37</v>
      </c>
      <c r="N78" s="5">
        <v>44487</v>
      </c>
      <c r="O78" s="4"/>
      <c r="P78" s="4" t="s">
        <v>22</v>
      </c>
    </row>
    <row r="79" spans="1:16" x14ac:dyDescent="0.25">
      <c r="A79" s="4" t="s">
        <v>18</v>
      </c>
      <c r="B79" s="5">
        <v>44450</v>
      </c>
      <c r="C79" s="4" t="str">
        <f>"004163003655"</f>
        <v>004163003655</v>
      </c>
      <c r="D79" s="4" t="str">
        <f>"5769605069"</f>
        <v>5769605069</v>
      </c>
      <c r="E79" s="5">
        <v>44480</v>
      </c>
      <c r="F79" s="4">
        <v>1595</v>
      </c>
      <c r="G79" s="4">
        <v>5745</v>
      </c>
      <c r="H79" s="4" t="s">
        <v>27</v>
      </c>
      <c r="I79" s="4" t="str">
        <f t="shared" si="1"/>
        <v>06655971007</v>
      </c>
      <c r="J79" s="4" t="s">
        <v>28</v>
      </c>
      <c r="K79" s="4" t="s">
        <v>38</v>
      </c>
      <c r="L79" s="4">
        <v>-0.34</v>
      </c>
      <c r="M79" s="4">
        <v>-0.28000000000000003</v>
      </c>
      <c r="N79" s="5">
        <v>44487</v>
      </c>
      <c r="O79" s="4"/>
      <c r="P79" s="4" t="s">
        <v>22</v>
      </c>
    </row>
    <row r="80" spans="1:16" x14ac:dyDescent="0.25">
      <c r="A80" s="4" t="s">
        <v>18</v>
      </c>
      <c r="B80" s="5">
        <v>44167</v>
      </c>
      <c r="C80" s="4" t="str">
        <f>"008403230745"</f>
        <v>008403230745</v>
      </c>
      <c r="D80" s="4" t="str">
        <f>"4136092947"</f>
        <v>4136092947</v>
      </c>
      <c r="E80" s="5">
        <v>44174</v>
      </c>
      <c r="F80" s="4">
        <v>1782</v>
      </c>
      <c r="G80" s="4">
        <v>5745</v>
      </c>
      <c r="H80" s="4" t="s">
        <v>27</v>
      </c>
      <c r="I80" s="4" t="str">
        <f t="shared" si="1"/>
        <v>06655971007</v>
      </c>
      <c r="J80" s="4" t="s">
        <v>28</v>
      </c>
      <c r="K80" s="4" t="s">
        <v>39</v>
      </c>
      <c r="L80" s="4">
        <v>-19.86</v>
      </c>
      <c r="M80" s="4">
        <v>-16.28</v>
      </c>
      <c r="N80" s="5">
        <v>44198</v>
      </c>
      <c r="O80" s="4"/>
      <c r="P80" s="4" t="s">
        <v>22</v>
      </c>
    </row>
  </sheetData>
  <autoFilter ref="A2:P80" xr:uid="{E0E2E948-17CB-4B51-89A2-F6F4F3D348BA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Fatture contabilizzate al 31-12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Daprati</dc:creator>
  <cp:lastModifiedBy>Marika Daprati</cp:lastModifiedBy>
  <dcterms:created xsi:type="dcterms:W3CDTF">2025-04-07T10:15:13Z</dcterms:created>
  <dcterms:modified xsi:type="dcterms:W3CDTF">2025-04-07T10:15:36Z</dcterms:modified>
</cp:coreProperties>
</file>